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ONCOCOST VOLUM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/>
  <calcPr fullCalcOnLoad="1"/>
</workbook>
</file>

<file path=xl/sharedStrings.xml><?xml version="1.0" encoding="utf-8"?>
<sst xmlns="http://schemas.openxmlformats.org/spreadsheetml/2006/main" count="936" uniqueCount="129">
  <si>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</si>
  <si>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</si>
  <si>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</si>
  <si>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</si>
  <si>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</si>
  <si>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</si>
  <si>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</si>
  <si>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</si>
  <si>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</si>
  <si>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</si>
  <si>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</si>
  <si>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</si>
  <si>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</si>
  <si>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</si>
  <si>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</si>
  <si>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</si>
  <si>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</si>
  <si>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</si>
  <si>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</si>
  <si>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</si>
  <si>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</si>
  <si>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</si>
  <si>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</si>
  <si>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</si>
  <si>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</si>
  <si>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</si>
  <si>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</si>
  <si>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</si>
  <si>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</si>
  <si>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</si>
  <si>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</si>
  <si>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</si>
  <si>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</si>
  <si>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</si>
  <si>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</si>
  <si>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</si>
  <si>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</si>
  <si>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</si>
  <si>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</si>
  <si>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</si>
  <si>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</si>
  <si>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</si>
  <si>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</si>
  <si>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</si>
  <si>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</si>
  <si>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</si>
  <si>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</si>
  <si>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</si>
  <si>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</si>
  <si>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</si>
  <si>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</si>
  <si>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</si>
  <si>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</si>
  <si>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</si>
  <si>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</si>
  <si>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</si>
  <si>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</si>
  <si>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</si>
  <si>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</si>
  <si>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</si>
  <si>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</si>
  <si>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</si>
  <si>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</si>
  <si>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</si>
  <si>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</si>
  <si>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</si>
  <si>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</si>
  <si>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</si>
  <si>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</si>
  <si>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</si>
  <si>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</si>
  <si>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</si>
  <si>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</si>
  <si>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</si>
  <si>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</si>
  <si>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</si>
  <si>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</si>
  <si>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</si>
  <si>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</si>
  <si>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</si>
  <si>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</si>
  <si>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</si>
  <si>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</si>
  <si>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</si>
  <si>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</si>
  <si>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</si>
  <si>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</si>
  <si>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</si>
  <si>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</si>
  <si>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</si>
  <si>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</si>
  <si>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</si>
  <si>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</si>
  <si>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</si>
  <si>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</si>
  <si>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</si>
  <si>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</si>
  <si>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</si>
  <si>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</si>
  <si>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</si>
  <si>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</si>
  <si>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</si>
  <si>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</si>
  <si>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</si>
  <si>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</si>
  <si>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</si>
  <si>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</si>
  <si>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</si>
  <si>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</si>
  <si>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</si>
  <si>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</si>
  <si>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</si>
  <si>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</si>
  <si>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</si>
  <si>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</si>
  <si>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</si>
  <si>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Consum pe Farmacii APRILIE</t>
  </si>
  <si>
    <t>SITUATIA CONSUMULUI DE MEDICAMENTE IN LUNA  MAI 2018</t>
  </si>
  <si>
    <t>SITUATIA CONSUMULUI DE MEDICAMENTE PENTRU PENSIONARI PANA LA 900 LEI MAI 2018</t>
  </si>
  <si>
    <t>SITUATIA CONSUMULUI DE MEDICAMENTE PENTRU DIABET   LUNA MAI 2018</t>
  </si>
  <si>
    <t>SITUATIA CONSUMULUI DE MEDICAMENTE PENTRU INSULINE LUNA MAI 2018</t>
  </si>
  <si>
    <t>SITUATIA CONSUMULUI DE MEDICAMENTE LA  DIABET SI INSULINE MAI 2018</t>
  </si>
  <si>
    <t>SITUATIA CONSUMULUI LA TESTE PENTRU LUNA MAI 2018</t>
  </si>
  <si>
    <t>SITUATIA CONSUMULUI DE MEDICAMENTE PENTRU PNS COST VOLUM   LUNA MAI 2018</t>
  </si>
  <si>
    <t>SITUATIA CONSUMULUI DE MEDICAMENTE PENTRU ONCOLOGIE  LUNA MAI 2018</t>
  </si>
  <si>
    <t>SITUATIA CONSUMULUI DE MEDICAMENTE LA STARI POSTTRANSPLANT MAI 2018</t>
  </si>
  <si>
    <t>SITUATIA CONSUMULUI DE MEDICAMENTE PENTRU SCLEROZA   LUNA MAI 2018</t>
  </si>
  <si>
    <t>SITUATIA CONSUMULUI DE MEDICAMENTE LA STARI MUCOVISCIDOZA MAI 2018</t>
  </si>
  <si>
    <t>SITUATIA CONSUMULUI DE MEDICAMENTE PENTRU UNICE COST VOLUM   LUNA MAI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</si>
</sst>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0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2"/>
      <color indexed="8"/>
      <name val="Times New Roman CE"/>
      <family val="1"/>
    </font>
    <font>
      <b/>
      <sz val="12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4" fontId="2" fillId="2" borderId="9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4" fontId="17" fillId="0" borderId="1" xfId="0" applyNumberFormat="1" applyFont="1" applyBorder="1" applyAlignment="1">
      <alignment/>
    </xf>
    <xf numFmtId="4" fontId="14" fillId="2" borderId="1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19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1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 shrinkToFit="1"/>
    </xf>
    <xf numFmtId="0" fontId="12" fillId="0" borderId="1" xfId="0" applyFont="1" applyBorder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G273"/>
  <sheetViews>
    <sheetView tabSelected="1" workbookViewId="0" topLeftCell="H28">
      <selection activeCell="AU30" sqref="AU30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3" width="13.8515625" style="0" bestFit="1" customWidth="1"/>
    <col min="14" max="14" width="15.57421875" style="0" customWidth="1"/>
    <col min="15" max="15" width="17.140625" style="0" bestFit="1" customWidth="1"/>
    <col min="16" max="16" width="16.8515625" style="0" customWidth="1"/>
    <col min="17" max="17" width="15.8515625" style="0" bestFit="1" customWidth="1"/>
    <col min="18" max="18" width="18.28125" style="0" bestFit="1" customWidth="1"/>
    <col min="19" max="19" width="18.28125" style="13" bestFit="1" customWidth="1"/>
    <col min="20" max="20" width="0.42578125" style="0" customWidth="1"/>
    <col min="21" max="21" width="11.7109375" style="0" bestFit="1" customWidth="1"/>
    <col min="22" max="59" width="9.140625" style="4" customWidth="1"/>
  </cols>
  <sheetData>
    <row r="3" spans="2:20" ht="15.75">
      <c r="B3" s="20" t="s">
        <v>117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  <c r="T3" s="26"/>
    </row>
    <row r="4" spans="1:20" ht="47.25">
      <c r="A4" s="91" t="s">
        <v>0</v>
      </c>
      <c r="B4" s="92" t="s">
        <v>1</v>
      </c>
      <c r="C4" s="93" t="s">
        <v>2</v>
      </c>
      <c r="D4" s="93" t="s">
        <v>3</v>
      </c>
      <c r="E4" s="93" t="s">
        <v>4</v>
      </c>
      <c r="F4" s="93" t="s">
        <v>5</v>
      </c>
      <c r="G4" s="93" t="s">
        <v>99</v>
      </c>
      <c r="H4" s="94" t="s">
        <v>103</v>
      </c>
      <c r="I4" s="93" t="s">
        <v>104</v>
      </c>
      <c r="J4" s="93" t="s">
        <v>105</v>
      </c>
      <c r="K4" s="93" t="s">
        <v>106</v>
      </c>
      <c r="L4" s="93" t="s">
        <v>107</v>
      </c>
      <c r="M4" s="93" t="s">
        <v>108</v>
      </c>
      <c r="N4" s="93" t="s">
        <v>109</v>
      </c>
      <c r="O4" s="93" t="s">
        <v>110</v>
      </c>
      <c r="P4" s="93" t="s">
        <v>111</v>
      </c>
      <c r="Q4" s="93" t="s">
        <v>113</v>
      </c>
      <c r="R4" s="95" t="s">
        <v>96</v>
      </c>
      <c r="S4" s="94" t="s">
        <v>112</v>
      </c>
      <c r="T4" s="94" t="s">
        <v>116</v>
      </c>
    </row>
    <row r="5" spans="1:21" ht="15.75">
      <c r="A5" s="96">
        <v>1</v>
      </c>
      <c r="B5" s="97" t="s">
        <v>6</v>
      </c>
      <c r="C5" s="27">
        <v>31281.08</v>
      </c>
      <c r="D5" s="27">
        <v>36605.79</v>
      </c>
      <c r="E5" s="27">
        <v>50785.54</v>
      </c>
      <c r="F5" s="27">
        <v>1441.12</v>
      </c>
      <c r="G5" s="27">
        <v>3935.89</v>
      </c>
      <c r="H5" s="28">
        <v>3991.35</v>
      </c>
      <c r="I5" s="27"/>
      <c r="J5" s="27">
        <v>3861.3</v>
      </c>
      <c r="K5" s="27">
        <v>22508.76</v>
      </c>
      <c r="L5" s="27"/>
      <c r="M5" s="27"/>
      <c r="N5" s="27">
        <v>11364.22</v>
      </c>
      <c r="O5" s="27">
        <v>13239.96</v>
      </c>
      <c r="P5" s="27">
        <v>3861.3</v>
      </c>
      <c r="Q5" s="79">
        <f>H5+I5+J5+K5+L5+M5+N5+O5+P5</f>
        <v>58826.89</v>
      </c>
      <c r="R5" s="80">
        <f>C5+D5+E5+F5+G5+Q5</f>
        <v>182876.31</v>
      </c>
      <c r="S5" s="81">
        <f>R5-Q5</f>
        <v>124049.42</v>
      </c>
      <c r="T5" s="82">
        <f>R5+PENS!E7+DIABET!C6+INS!C7+MIXT!E6+TESTE!C7+TESTE!D7+'ONCOCOST VOLUM'!C6+ONCO!C6+POSTT!C6+SCLEROZ!C6+'CV UNICE'!C6+MUCOV!C6+MUCOV!D6</f>
        <v>306995.43</v>
      </c>
      <c r="U5" s="3"/>
    </row>
    <row r="6" spans="1:21" ht="15.75">
      <c r="A6" s="96">
        <v>2</v>
      </c>
      <c r="B6" s="97" t="s">
        <v>7</v>
      </c>
      <c r="C6" s="27">
        <f>8393.99+10445.82</f>
        <v>18839.809999999998</v>
      </c>
      <c r="D6" s="27">
        <f>9277.12+14015.47</f>
        <v>23292.59</v>
      </c>
      <c r="E6" s="27">
        <f>8436.94+7081.59</f>
        <v>15518.53</v>
      </c>
      <c r="F6" s="27">
        <f>385.38+322.36</f>
        <v>707.74</v>
      </c>
      <c r="G6" s="27">
        <f>889.94+1407.2</f>
        <v>2297.1400000000003</v>
      </c>
      <c r="H6" s="28">
        <v>3124.16</v>
      </c>
      <c r="I6" s="27"/>
      <c r="J6" s="27">
        <v>3861.3</v>
      </c>
      <c r="K6" s="27">
        <v>3861.3</v>
      </c>
      <c r="L6" s="27"/>
      <c r="M6" s="27"/>
      <c r="N6" s="27">
        <v>3751.46</v>
      </c>
      <c r="O6" s="27"/>
      <c r="P6" s="27"/>
      <c r="Q6" s="79">
        <f aca="true" t="shared" si="0" ref="Q6:Q42">H6+I6+J6+K6+L6+M6+N6+O6+P6</f>
        <v>14598.220000000001</v>
      </c>
      <c r="R6" s="80">
        <f aca="true" t="shared" si="1" ref="R6:R42">C6+D6+E6+F6+G6+Q6</f>
        <v>75254.03</v>
      </c>
      <c r="S6" s="81">
        <f aca="true" t="shared" si="2" ref="S6:S42">R6-Q6</f>
        <v>60655.81</v>
      </c>
      <c r="T6" s="82">
        <f>R6+PENS!E8+DIABET!C7+INS!C8+MIXT!E7+TESTE!C8+TESTE!D8+'ONCOCOST VOLUM'!C7+ONCO!C7+POSTT!C7+SCLEROZ!C7+'CV UNICE'!C7+MUCOV!C7+MUCOV!D7</f>
        <v>129374.65</v>
      </c>
      <c r="U6" s="3"/>
    </row>
    <row r="7" spans="1:21" ht="15.75">
      <c r="A7" s="96">
        <v>3</v>
      </c>
      <c r="B7" s="97" t="s">
        <v>8</v>
      </c>
      <c r="C7" s="27">
        <v>37510.35</v>
      </c>
      <c r="D7" s="27">
        <v>35847.59</v>
      </c>
      <c r="E7" s="27">
        <v>14072.98</v>
      </c>
      <c r="F7" s="27">
        <v>8225.25</v>
      </c>
      <c r="G7" s="27">
        <v>3259.35</v>
      </c>
      <c r="H7" s="28"/>
      <c r="I7" s="27"/>
      <c r="J7" s="27"/>
      <c r="K7" s="27"/>
      <c r="L7" s="27"/>
      <c r="M7" s="27"/>
      <c r="N7" s="27"/>
      <c r="O7" s="27"/>
      <c r="P7" s="27"/>
      <c r="Q7" s="79">
        <f t="shared" si="0"/>
        <v>0</v>
      </c>
      <c r="R7" s="80">
        <f t="shared" si="1"/>
        <v>98915.52</v>
      </c>
      <c r="S7" s="81">
        <f t="shared" si="2"/>
        <v>98915.52</v>
      </c>
      <c r="T7" s="82">
        <f>R7+PENS!E9+DIABET!C8+INS!C9+MIXT!E8+TESTE!C9+TESTE!D9+'ONCOCOST VOLUM'!C8+ONCO!C8+POSTT!C8+SCLEROZ!C8+'CV UNICE'!C8+MUCOV!C8+MUCOV!D8</f>
        <v>113758.72999999998</v>
      </c>
      <c r="U7" s="3"/>
    </row>
    <row r="8" spans="1:21" ht="15.75">
      <c r="A8" s="96">
        <v>4</v>
      </c>
      <c r="B8" s="97" t="s">
        <v>9</v>
      </c>
      <c r="C8" s="27">
        <f>3567.93+2771.2+8183.13</f>
        <v>14522.259999999998</v>
      </c>
      <c r="D8" s="27">
        <f>2437.96+2249.2+8413.39</f>
        <v>13100.55</v>
      </c>
      <c r="E8" s="27">
        <f>2281.47+895.33+7613.17</f>
        <v>10789.97</v>
      </c>
      <c r="F8" s="27">
        <f>601.66+32.54+963.55</f>
        <v>1597.75</v>
      </c>
      <c r="G8" s="27">
        <f>214.81+202.34+713.02</f>
        <v>1130.17</v>
      </c>
      <c r="H8" s="28">
        <v>867.19</v>
      </c>
      <c r="I8" s="27"/>
      <c r="J8" s="27"/>
      <c r="K8" s="27"/>
      <c r="L8" s="27"/>
      <c r="M8" s="27"/>
      <c r="N8" s="27"/>
      <c r="O8" s="27"/>
      <c r="P8" s="27"/>
      <c r="Q8" s="79">
        <f t="shared" si="0"/>
        <v>867.19</v>
      </c>
      <c r="R8" s="80">
        <f t="shared" si="1"/>
        <v>42007.89</v>
      </c>
      <c r="S8" s="81">
        <f t="shared" si="2"/>
        <v>41140.7</v>
      </c>
      <c r="T8" s="82">
        <f>R8+PENS!E10+DIABET!C9+INS!C10+MIXT!E9+TESTE!C10+TESTE!D10+'ONCOCOST VOLUM'!C9+ONCO!C9+POSTT!C9+SCLEROZ!C9+'CV UNICE'!C9+MUCOV!C9+MUCOV!D9</f>
        <v>57255.579999999994</v>
      </c>
      <c r="U8" s="3"/>
    </row>
    <row r="9" spans="1:21" ht="15.75">
      <c r="A9" s="96">
        <v>5</v>
      </c>
      <c r="B9" s="97" t="s">
        <v>10</v>
      </c>
      <c r="C9" s="27">
        <f>7191.8+6224.24</f>
        <v>13416.04</v>
      </c>
      <c r="D9" s="27">
        <f>6418.05+4858.22</f>
        <v>11276.27</v>
      </c>
      <c r="E9" s="27">
        <f>3329.72+3064.83</f>
        <v>6394.549999999999</v>
      </c>
      <c r="F9" s="27">
        <f>198.46+578.52</f>
        <v>776.98</v>
      </c>
      <c r="G9" s="27">
        <f>835.98+1060.31</f>
        <v>1896.29</v>
      </c>
      <c r="H9" s="28"/>
      <c r="I9" s="27"/>
      <c r="J9" s="27"/>
      <c r="K9" s="27"/>
      <c r="L9" s="27"/>
      <c r="M9" s="27"/>
      <c r="N9" s="27"/>
      <c r="O9" s="27"/>
      <c r="P9" s="27"/>
      <c r="Q9" s="79">
        <f t="shared" si="0"/>
        <v>0</v>
      </c>
      <c r="R9" s="80">
        <f t="shared" si="1"/>
        <v>33760.13</v>
      </c>
      <c r="S9" s="81">
        <f t="shared" si="2"/>
        <v>33760.13</v>
      </c>
      <c r="T9" s="85">
        <f>R9+PENS!E11+DIABET!C10+INS!C11+MIXT!E10+TESTE!C11+TESTE!D11+'ONCOCOST VOLUM'!C10+ONCO!C10+POSTT!C10+SCLEROZ!C10+'CV UNICE'!C10+MUCOV!C10+MUCOV!D10</f>
        <v>43080.03</v>
      </c>
      <c r="U9" s="3"/>
    </row>
    <row r="10" spans="1:21" ht="15.75">
      <c r="A10" s="96">
        <v>6</v>
      </c>
      <c r="B10" s="97" t="s">
        <v>11</v>
      </c>
      <c r="C10" s="27">
        <v>15361.81</v>
      </c>
      <c r="D10" s="27">
        <v>18651.01</v>
      </c>
      <c r="E10" s="27">
        <v>20577.48</v>
      </c>
      <c r="F10" s="27">
        <v>416.72</v>
      </c>
      <c r="G10" s="27">
        <v>2068.27</v>
      </c>
      <c r="H10" s="28"/>
      <c r="I10" s="27"/>
      <c r="J10" s="27"/>
      <c r="K10" s="27"/>
      <c r="L10" s="27"/>
      <c r="M10" s="27"/>
      <c r="N10" s="27"/>
      <c r="O10" s="27"/>
      <c r="P10" s="27"/>
      <c r="Q10" s="79">
        <f t="shared" si="0"/>
        <v>0</v>
      </c>
      <c r="R10" s="80">
        <f t="shared" si="1"/>
        <v>57075.29</v>
      </c>
      <c r="S10" s="81">
        <f t="shared" si="2"/>
        <v>57075.29</v>
      </c>
      <c r="T10" s="82">
        <f>R10+PENS!E12+DIABET!C11+INS!C12+MIXT!E11+TESTE!C12+TESTE!D12+'ONCOCOST VOLUM'!C11+ONCO!C11+POSTT!C11+SCLEROZ!C11+'CV UNICE'!C11+MUCOV!C11+MUCOV!D11</f>
        <v>78224.77</v>
      </c>
      <c r="U10" s="3"/>
    </row>
    <row r="11" spans="1:21" ht="15.75">
      <c r="A11" s="96">
        <v>7</v>
      </c>
      <c r="B11" s="97" t="s">
        <v>12</v>
      </c>
      <c r="C11" s="27">
        <v>19395.38</v>
      </c>
      <c r="D11" s="27">
        <v>22884.49</v>
      </c>
      <c r="E11" s="27">
        <v>37337.09</v>
      </c>
      <c r="F11" s="27">
        <v>1366.81</v>
      </c>
      <c r="G11" s="27">
        <v>3047.85</v>
      </c>
      <c r="H11" s="28">
        <v>6876.89</v>
      </c>
      <c r="I11" s="27"/>
      <c r="J11" s="27"/>
      <c r="K11" s="27"/>
      <c r="L11" s="27"/>
      <c r="M11" s="27"/>
      <c r="N11" s="27"/>
      <c r="O11" s="27"/>
      <c r="P11" s="27"/>
      <c r="Q11" s="79">
        <f t="shared" si="0"/>
        <v>6876.89</v>
      </c>
      <c r="R11" s="80">
        <f t="shared" si="1"/>
        <v>90908.51</v>
      </c>
      <c r="S11" s="81">
        <f t="shared" si="2"/>
        <v>84031.62</v>
      </c>
      <c r="T11" s="82">
        <f>R11+PENS!E13+DIABET!C12+INS!C13+MIXT!E12+TESTE!C13+TESTE!D13+'ONCOCOST VOLUM'!C12+ONCO!C12+POSTT!C12+SCLEROZ!C12+'CV UNICE'!C12+MUCOV!C12+MUCOV!D12</f>
        <v>128127.59999999999</v>
      </c>
      <c r="U11" s="3"/>
    </row>
    <row r="12" spans="1:59" s="18" customFormat="1" ht="15.75">
      <c r="A12" s="98">
        <v>8</v>
      </c>
      <c r="B12" s="99" t="s">
        <v>13</v>
      </c>
      <c r="C12" s="28">
        <f>4610.62+7079.96+11180.56+11961.07+12731.48</f>
        <v>47563.69</v>
      </c>
      <c r="D12" s="28">
        <f>3837.7+6978.79+10804.33+18029.92+15334.03</f>
        <v>54984.77</v>
      </c>
      <c r="E12" s="28">
        <f>5962.64+2658.49+7781.4+31543.4+71796.85</f>
        <v>119742.78</v>
      </c>
      <c r="F12" s="28">
        <f>73.5+1480.96+2007.71+910.23+1388.04</f>
        <v>5860.44</v>
      </c>
      <c r="G12" s="28">
        <f>481.41+438.04+1439.38+2064.14+2246.85</f>
        <v>6669.82</v>
      </c>
      <c r="H12" s="28">
        <f>2601.57+1673.76</f>
        <v>4275.33</v>
      </c>
      <c r="I12" s="28"/>
      <c r="J12" s="28"/>
      <c r="K12" s="28">
        <v>11474.06</v>
      </c>
      <c r="L12" s="28"/>
      <c r="M12" s="28"/>
      <c r="N12" s="28">
        <v>3861.3</v>
      </c>
      <c r="O12" s="28"/>
      <c r="P12" s="28"/>
      <c r="Q12" s="81">
        <f t="shared" si="0"/>
        <v>19610.69</v>
      </c>
      <c r="R12" s="83">
        <f t="shared" si="1"/>
        <v>254432.19</v>
      </c>
      <c r="S12" s="81">
        <f t="shared" si="2"/>
        <v>234821.5</v>
      </c>
      <c r="T12" s="85">
        <f>R12+PENS!E14+DIABET!C13+INS!C14+MIXT!E13+TESTE!C14+TESTE!D14+'ONCOCOST VOLUM'!C13+ONCO!C13+POSTT!C13+SCLEROZ!C13+'CV UNICE'!C13+MUCOV!C13+MUCOV!D13</f>
        <v>331282.57</v>
      </c>
      <c r="U12" s="84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21" ht="15.75">
      <c r="A13" s="96">
        <v>9</v>
      </c>
      <c r="B13" s="97" t="s">
        <v>14</v>
      </c>
      <c r="C13" s="27">
        <f>9336.95+9151.52+16745.62+16827.52</f>
        <v>52061.61</v>
      </c>
      <c r="D13" s="27">
        <f>9921.73+9083.01+17950.83+23092.1</f>
        <v>60047.67</v>
      </c>
      <c r="E13" s="27">
        <f>6430.84+17120.93+10850.15+13902.23</f>
        <v>48304.149999999994</v>
      </c>
      <c r="F13" s="27">
        <f>734.61+568.48+1184.35+1023.84</f>
        <v>3511.28</v>
      </c>
      <c r="G13" s="27">
        <f>1190.14+1186.84+1752.9+3260.63</f>
        <v>7390.51</v>
      </c>
      <c r="H13" s="28">
        <v>1734.38</v>
      </c>
      <c r="I13" s="27"/>
      <c r="J13" s="27">
        <v>3861.3</v>
      </c>
      <c r="K13" s="27"/>
      <c r="L13" s="27"/>
      <c r="M13" s="27"/>
      <c r="N13" s="27">
        <v>3861.3</v>
      </c>
      <c r="O13" s="27"/>
      <c r="P13" s="27"/>
      <c r="Q13" s="79">
        <f t="shared" si="0"/>
        <v>9456.98</v>
      </c>
      <c r="R13" s="80">
        <f t="shared" si="1"/>
        <v>180772.2</v>
      </c>
      <c r="S13" s="81">
        <f t="shared" si="2"/>
        <v>171315.22</v>
      </c>
      <c r="T13" s="85">
        <f>R13+PENS!E15+DIABET!C14+INS!C15+MIXT!E14+TESTE!C15+TESTE!D15+'ONCOCOST VOLUM'!C14+ONCO!C14+POSTT!C14+SCLEROZ!C14+'CV UNICE'!C14+MUCOV!C14+MUCOV!D14</f>
        <v>237834.02000000005</v>
      </c>
      <c r="U13" s="3"/>
    </row>
    <row r="14" spans="1:21" ht="15.75">
      <c r="A14" s="96">
        <v>10</v>
      </c>
      <c r="B14" s="97" t="s">
        <v>15</v>
      </c>
      <c r="C14" s="27">
        <v>16353.17</v>
      </c>
      <c r="D14" s="27">
        <v>43163.02</v>
      </c>
      <c r="E14" s="27">
        <v>51161.09</v>
      </c>
      <c r="F14" s="27">
        <v>712.21</v>
      </c>
      <c r="G14" s="27">
        <v>1209.45</v>
      </c>
      <c r="H14" s="28">
        <v>10807.63</v>
      </c>
      <c r="I14" s="27"/>
      <c r="J14" s="27"/>
      <c r="K14" s="27">
        <v>29195.3</v>
      </c>
      <c r="L14" s="27"/>
      <c r="M14" s="27"/>
      <c r="N14" s="27">
        <v>7194.18</v>
      </c>
      <c r="O14" s="27"/>
      <c r="P14" s="27"/>
      <c r="Q14" s="79">
        <f t="shared" si="0"/>
        <v>47197.11</v>
      </c>
      <c r="R14" s="80">
        <f t="shared" si="1"/>
        <v>159796.05</v>
      </c>
      <c r="S14" s="81">
        <f t="shared" si="2"/>
        <v>112598.93999999999</v>
      </c>
      <c r="T14" s="82">
        <f>R14+PENS!E16+DIABET!C15+INS!C16+MIXT!E15+TESTE!C16+TESTE!D16+'ONCOCOST VOLUM'!C15+ONCO!C15+POSTT!C15+SCLEROZ!C15+'CV UNICE'!C15+MUCOV!C15+MUCOV!D15</f>
        <v>378824.58999999997</v>
      </c>
      <c r="U14" s="3"/>
    </row>
    <row r="15" spans="1:21" ht="15.75">
      <c r="A15" s="96">
        <v>11</v>
      </c>
      <c r="B15" s="97" t="s">
        <v>16</v>
      </c>
      <c r="C15" s="27">
        <v>16560.46</v>
      </c>
      <c r="D15" s="100">
        <v>19689.9</v>
      </c>
      <c r="E15" s="27">
        <v>15845.74</v>
      </c>
      <c r="F15" s="27">
        <v>1294.25</v>
      </c>
      <c r="G15" s="27">
        <v>2450.67</v>
      </c>
      <c r="H15" s="28"/>
      <c r="I15" s="27"/>
      <c r="J15" s="27"/>
      <c r="K15" s="27"/>
      <c r="L15" s="27"/>
      <c r="M15" s="27"/>
      <c r="N15" s="27"/>
      <c r="O15" s="27"/>
      <c r="P15" s="27"/>
      <c r="Q15" s="79">
        <f t="shared" si="0"/>
        <v>0</v>
      </c>
      <c r="R15" s="80">
        <f t="shared" si="1"/>
        <v>55841.02</v>
      </c>
      <c r="S15" s="81">
        <f t="shared" si="2"/>
        <v>55841.02</v>
      </c>
      <c r="T15" s="82">
        <f>R15+PENS!E17+DIABET!C16+INS!C17+MIXT!E16+TESTE!C17+TESTE!D17+'ONCOCOST VOLUM'!C16+ONCO!C16+POSTT!C16+SCLEROZ!C16+'CV UNICE'!C16+MUCOV!C16+MUCOV!D16</f>
        <v>127726.28</v>
      </c>
      <c r="U15" s="3"/>
    </row>
    <row r="16" spans="1:21" ht="15.75">
      <c r="A16" s="96">
        <v>12</v>
      </c>
      <c r="B16" s="97" t="s">
        <v>17</v>
      </c>
      <c r="C16" s="27">
        <f>23534.48+24892.76+27389.7</f>
        <v>75816.94</v>
      </c>
      <c r="D16" s="27">
        <f>24915.48+27929.96+31709.42</f>
        <v>84554.86</v>
      </c>
      <c r="E16" s="27">
        <f>13731.05+11821.75+20374.76</f>
        <v>45927.56</v>
      </c>
      <c r="F16" s="27">
        <f>1795.54+1810.71+1930.85</f>
        <v>5537.1</v>
      </c>
      <c r="G16" s="27">
        <f>2704.08+3470.89+4382.3</f>
        <v>10557.27</v>
      </c>
      <c r="H16" s="28">
        <f>1734.38</f>
        <v>1734.38</v>
      </c>
      <c r="I16" s="27"/>
      <c r="J16" s="27">
        <f>5791.95</f>
        <v>5791.95</v>
      </c>
      <c r="K16" s="27">
        <f>3861.3+3861.3+24786.26</f>
        <v>32508.86</v>
      </c>
      <c r="L16" s="27">
        <f>1946.25</f>
        <v>1946.25</v>
      </c>
      <c r="M16" s="27"/>
      <c r="N16" s="27">
        <f>11474.06+19323.83</f>
        <v>30797.89</v>
      </c>
      <c r="O16" s="27"/>
      <c r="P16" s="27">
        <f>3861.3</f>
        <v>3861.3</v>
      </c>
      <c r="Q16" s="79">
        <f t="shared" si="0"/>
        <v>76640.63</v>
      </c>
      <c r="R16" s="80">
        <f t="shared" si="1"/>
        <v>299034.36</v>
      </c>
      <c r="S16" s="81">
        <f t="shared" si="2"/>
        <v>222393.72999999998</v>
      </c>
      <c r="T16" s="82">
        <f>R16+PENS!E18+DIABET!C17+INS!C18+MIXT!E17+TESTE!C18+TESTE!D18+'ONCOCOST VOLUM'!C17+ONCO!C17+POSTT!C17+SCLEROZ!C17+'CV UNICE'!C17+MUCOV!C17+MUCOV!D17</f>
        <v>382248.04000000004</v>
      </c>
      <c r="U16" s="3"/>
    </row>
    <row r="17" spans="1:21" ht="15.75">
      <c r="A17" s="96">
        <v>13</v>
      </c>
      <c r="B17" s="97" t="s">
        <v>18</v>
      </c>
      <c r="C17" s="27">
        <v>27321.09</v>
      </c>
      <c r="D17" s="27">
        <v>30881.94</v>
      </c>
      <c r="E17" s="27">
        <v>19112.91</v>
      </c>
      <c r="F17" s="27">
        <v>2619.31</v>
      </c>
      <c r="G17" s="27">
        <v>3320.58</v>
      </c>
      <c r="H17" s="28"/>
      <c r="I17" s="27"/>
      <c r="J17" s="27"/>
      <c r="K17" s="27"/>
      <c r="L17" s="27"/>
      <c r="M17" s="27"/>
      <c r="N17" s="27"/>
      <c r="O17" s="27"/>
      <c r="P17" s="27"/>
      <c r="Q17" s="79">
        <f t="shared" si="0"/>
        <v>0</v>
      </c>
      <c r="R17" s="80">
        <f t="shared" si="1"/>
        <v>83255.83</v>
      </c>
      <c r="S17" s="81">
        <f t="shared" si="2"/>
        <v>83255.83</v>
      </c>
      <c r="T17" s="82">
        <f>R17+PENS!E19+DIABET!C18+INS!C19+MIXT!E18+TESTE!C19+TESTE!D19+'ONCOCOST VOLUM'!C18+ONCO!C18+POSTT!C18+SCLEROZ!C18+'CV UNICE'!C18+MUCOV!C18+MUCOV!D18</f>
        <v>130877.34999999999</v>
      </c>
      <c r="U17" s="3"/>
    </row>
    <row r="18" spans="1:30" ht="15.75">
      <c r="A18" s="96">
        <v>14</v>
      </c>
      <c r="B18" s="97" t="s">
        <v>19</v>
      </c>
      <c r="C18" s="27">
        <v>21068.36</v>
      </c>
      <c r="D18" s="27">
        <v>13745.4</v>
      </c>
      <c r="E18" s="27">
        <v>6626.37</v>
      </c>
      <c r="F18" s="27">
        <v>1547.57</v>
      </c>
      <c r="G18" s="27">
        <v>1474.27</v>
      </c>
      <c r="H18" s="28"/>
      <c r="I18" s="27"/>
      <c r="J18" s="27"/>
      <c r="K18" s="27"/>
      <c r="L18" s="27"/>
      <c r="M18" s="27"/>
      <c r="N18" s="27"/>
      <c r="O18" s="27"/>
      <c r="P18" s="27"/>
      <c r="Q18" s="79">
        <f t="shared" si="0"/>
        <v>0</v>
      </c>
      <c r="R18" s="80">
        <f t="shared" si="1"/>
        <v>44461.97</v>
      </c>
      <c r="S18" s="81">
        <f t="shared" si="2"/>
        <v>44461.97</v>
      </c>
      <c r="T18" s="82">
        <f>R18+PENS!E20+DIABET!C19+INS!C20+MIXT!E19+TESTE!C20+TESTE!D20+'ONCOCOST VOLUM'!C19+ONCO!C19+POSTT!C19+SCLEROZ!C19+'CV UNICE'!C19+MUCOV!C19+MUCOV!D19</f>
        <v>62293.240000000005</v>
      </c>
      <c r="U18" s="3"/>
      <c r="V18" s="12"/>
      <c r="W18" s="12" t="s">
        <v>90</v>
      </c>
      <c r="X18" s="12"/>
      <c r="Y18" s="12"/>
      <c r="Z18" s="12"/>
      <c r="AA18" s="12"/>
      <c r="AB18" s="12"/>
      <c r="AC18" s="12"/>
      <c r="AD18" s="12"/>
    </row>
    <row r="19" spans="1:21" ht="15.75">
      <c r="A19" s="96">
        <v>15</v>
      </c>
      <c r="B19" s="97" t="s">
        <v>20</v>
      </c>
      <c r="C19" s="27">
        <f>14869.25+31402.2</f>
        <v>46271.45</v>
      </c>
      <c r="D19" s="27">
        <f>9615.03+22160.8</f>
        <v>31775.83</v>
      </c>
      <c r="E19" s="27">
        <f>11848.56+19549.92</f>
        <v>31398.479999999996</v>
      </c>
      <c r="F19" s="27">
        <f>1263.88+4022.87</f>
        <v>5286.75</v>
      </c>
      <c r="G19" s="27">
        <f>1093.7+3273.2</f>
        <v>4366.9</v>
      </c>
      <c r="H19" s="28"/>
      <c r="I19" s="27"/>
      <c r="J19" s="27"/>
      <c r="K19" s="27"/>
      <c r="L19" s="27"/>
      <c r="M19" s="27"/>
      <c r="N19" s="27"/>
      <c r="O19" s="27"/>
      <c r="P19" s="27"/>
      <c r="Q19" s="79">
        <f t="shared" si="0"/>
        <v>0</v>
      </c>
      <c r="R19" s="80">
        <f t="shared" si="1"/>
        <v>119099.40999999999</v>
      </c>
      <c r="S19" s="81">
        <f t="shared" si="2"/>
        <v>119099.40999999999</v>
      </c>
      <c r="T19" s="82">
        <f>R19+PENS!E21+DIABET!C20+INS!C21+MIXT!E20+TESTE!C21+TESTE!D21+'ONCOCOST VOLUM'!C20+ONCO!C20+POSTT!C20+SCLEROZ!C20+'CV UNICE'!C20+MUCOV!C20+MUCOV!D20</f>
        <v>187033.9</v>
      </c>
      <c r="U19" s="3"/>
    </row>
    <row r="20" spans="1:21" ht="15.75">
      <c r="A20" s="96">
        <v>16</v>
      </c>
      <c r="B20" s="97" t="s">
        <v>21</v>
      </c>
      <c r="C20" s="27">
        <f>4620.85+12743.1</f>
        <v>17363.95</v>
      </c>
      <c r="D20" s="27">
        <f>4052.9+13459.81</f>
        <v>17512.71</v>
      </c>
      <c r="E20" s="27">
        <f>2231.15+7728.49</f>
        <v>9959.64</v>
      </c>
      <c r="F20" s="27">
        <f>631.22+803.52</f>
        <v>1434.74</v>
      </c>
      <c r="G20" s="27">
        <f>605.81+1763.98</f>
        <v>2369.79</v>
      </c>
      <c r="H20" s="29"/>
      <c r="I20" s="27"/>
      <c r="J20" s="27"/>
      <c r="K20" s="27"/>
      <c r="L20" s="27"/>
      <c r="M20" s="27"/>
      <c r="N20" s="27"/>
      <c r="O20" s="27"/>
      <c r="P20" s="27"/>
      <c r="Q20" s="79">
        <f t="shared" si="0"/>
        <v>0</v>
      </c>
      <c r="R20" s="80">
        <f t="shared" si="1"/>
        <v>48640.83</v>
      </c>
      <c r="S20" s="81">
        <f t="shared" si="2"/>
        <v>48640.83</v>
      </c>
      <c r="T20" s="82">
        <f>R20+PENS!E22+DIABET!C21+INS!C22+MIXT!E21+TESTE!C22+TESTE!D22+'ONCOCOST VOLUM'!C21+ONCO!C21+POSTT!C21+SCLEROZ!C21+'CV UNICE'!C21+MUCOV!C21+MUCOV!D21</f>
        <v>57540.86</v>
      </c>
      <c r="U20" s="3"/>
    </row>
    <row r="21" spans="1:21" ht="15.75">
      <c r="A21" s="96">
        <v>17</v>
      </c>
      <c r="B21" s="97" t="s">
        <v>22</v>
      </c>
      <c r="C21" s="27">
        <v>6955.48</v>
      </c>
      <c r="D21" s="27">
        <v>3229.89</v>
      </c>
      <c r="E21" s="27">
        <v>4996.95</v>
      </c>
      <c r="F21" s="27">
        <v>284.81</v>
      </c>
      <c r="G21" s="27">
        <v>564.66</v>
      </c>
      <c r="H21" s="28"/>
      <c r="I21" s="27"/>
      <c r="J21" s="27"/>
      <c r="K21" s="27"/>
      <c r="L21" s="27"/>
      <c r="M21" s="27"/>
      <c r="N21" s="27"/>
      <c r="O21" s="27"/>
      <c r="P21" s="27"/>
      <c r="Q21" s="79">
        <f t="shared" si="0"/>
        <v>0</v>
      </c>
      <c r="R21" s="80">
        <f t="shared" si="1"/>
        <v>16031.789999999999</v>
      </c>
      <c r="S21" s="81">
        <f t="shared" si="2"/>
        <v>16031.789999999999</v>
      </c>
      <c r="T21" s="82">
        <f>R21+PENS!E23+DIABET!C22+INS!C23+MIXT!E22+TESTE!C23+TESTE!D23+'ONCOCOST VOLUM'!C22+ONCO!C22+POSTT!C22+SCLEROZ!C22+'CV UNICE'!C22+MUCOV!C22+MUCOV!D22</f>
        <v>19740.48</v>
      </c>
      <c r="U21" s="3"/>
    </row>
    <row r="22" spans="1:21" ht="15.75">
      <c r="A22" s="96">
        <v>18</v>
      </c>
      <c r="B22" s="97" t="s">
        <v>23</v>
      </c>
      <c r="C22" s="27">
        <v>1866.4</v>
      </c>
      <c r="D22" s="27">
        <v>1150.43</v>
      </c>
      <c r="E22" s="27">
        <v>821.73</v>
      </c>
      <c r="F22" s="27">
        <v>217.68</v>
      </c>
      <c r="G22" s="27"/>
      <c r="H22" s="28"/>
      <c r="I22" s="27"/>
      <c r="J22" s="27"/>
      <c r="K22" s="27"/>
      <c r="L22" s="27"/>
      <c r="M22" s="27"/>
      <c r="N22" s="27"/>
      <c r="O22" s="27"/>
      <c r="P22" s="27"/>
      <c r="Q22" s="79">
        <f t="shared" si="0"/>
        <v>0</v>
      </c>
      <c r="R22" s="80">
        <f t="shared" si="1"/>
        <v>4056.24</v>
      </c>
      <c r="S22" s="81">
        <f t="shared" si="2"/>
        <v>4056.24</v>
      </c>
      <c r="T22" s="82">
        <f>R22+PENS!E24+DIABET!C23+INS!C24+MIXT!E23+TESTE!C24+TESTE!D24+'ONCOCOST VOLUM'!C23+ONCO!C23+POSTT!C23+SCLEROZ!C23+'CV UNICE'!C23+MUCOV!C23+MUCOV!D23</f>
        <v>5845.91</v>
      </c>
      <c r="U22" s="3"/>
    </row>
    <row r="23" spans="1:21" ht="15.75">
      <c r="A23" s="96">
        <v>19</v>
      </c>
      <c r="B23" s="97" t="s">
        <v>24</v>
      </c>
      <c r="C23" s="27">
        <v>13652.34</v>
      </c>
      <c r="D23" s="27">
        <v>12847.82</v>
      </c>
      <c r="E23" s="27">
        <v>3456.98</v>
      </c>
      <c r="F23" s="27">
        <v>2808.05</v>
      </c>
      <c r="G23" s="27">
        <v>2106.61</v>
      </c>
      <c r="H23" s="28"/>
      <c r="I23" s="27"/>
      <c r="J23" s="27"/>
      <c r="K23" s="27"/>
      <c r="L23" s="27"/>
      <c r="M23" s="27"/>
      <c r="N23" s="27"/>
      <c r="O23" s="27"/>
      <c r="P23" s="27"/>
      <c r="Q23" s="79">
        <f t="shared" si="0"/>
        <v>0</v>
      </c>
      <c r="R23" s="80">
        <f t="shared" si="1"/>
        <v>34871.799999999996</v>
      </c>
      <c r="S23" s="81">
        <f t="shared" si="2"/>
        <v>34871.799999999996</v>
      </c>
      <c r="T23" s="82">
        <f>R23+PENS!E25+DIABET!C24+INS!C25+MIXT!E24+TESTE!C25+TESTE!D25+'ONCOCOST VOLUM'!C24+ONCO!C24+POSTT!C24+SCLEROZ!C24+'CV UNICE'!C24+MUCOV!C24+MUCOV!D24</f>
        <v>40093.469999999994</v>
      </c>
      <c r="U23" s="3"/>
    </row>
    <row r="24" spans="1:21" ht="15.75">
      <c r="A24" s="96">
        <v>20</v>
      </c>
      <c r="B24" s="97" t="s">
        <v>25</v>
      </c>
      <c r="C24" s="27">
        <v>19413.27</v>
      </c>
      <c r="D24" s="27">
        <v>18547.16</v>
      </c>
      <c r="E24" s="27">
        <v>11688.47</v>
      </c>
      <c r="F24" s="27">
        <v>1312.37</v>
      </c>
      <c r="G24" s="27">
        <v>3181.8</v>
      </c>
      <c r="H24" s="28">
        <v>3201.96</v>
      </c>
      <c r="I24" s="27"/>
      <c r="J24" s="27"/>
      <c r="K24" s="27"/>
      <c r="L24" s="27"/>
      <c r="M24" s="27">
        <v>8956.67</v>
      </c>
      <c r="N24" s="27"/>
      <c r="O24" s="27"/>
      <c r="P24" s="27"/>
      <c r="Q24" s="79">
        <f t="shared" si="0"/>
        <v>12158.630000000001</v>
      </c>
      <c r="R24" s="80">
        <f t="shared" si="1"/>
        <v>66301.70000000001</v>
      </c>
      <c r="S24" s="81">
        <f t="shared" si="2"/>
        <v>54143.07000000001</v>
      </c>
      <c r="T24" s="82">
        <f>R24+PENS!E26+DIABET!C25+INS!C26+MIXT!E25+TESTE!C26+TESTE!D26+'ONCOCOST VOLUM'!C25+ONCO!C25+POSTT!C25+SCLEROZ!C25+'CV UNICE'!C25+MUCOV!C25+MUCOV!D25</f>
        <v>92424.99000000002</v>
      </c>
      <c r="U24" s="3"/>
    </row>
    <row r="25" spans="1:21" ht="15.75">
      <c r="A25" s="96">
        <v>21</v>
      </c>
      <c r="B25" s="97" t="s">
        <v>26</v>
      </c>
      <c r="C25" s="27">
        <v>41183.27</v>
      </c>
      <c r="D25" s="27">
        <v>34150.49</v>
      </c>
      <c r="E25" s="27">
        <v>18259.37</v>
      </c>
      <c r="F25" s="27">
        <v>11136.1</v>
      </c>
      <c r="G25" s="27">
        <v>4355.87</v>
      </c>
      <c r="H25" s="28">
        <v>867.19</v>
      </c>
      <c r="I25" s="27"/>
      <c r="J25" s="27"/>
      <c r="K25" s="27"/>
      <c r="L25" s="27"/>
      <c r="M25" s="27"/>
      <c r="N25" s="27"/>
      <c r="O25" s="27"/>
      <c r="P25" s="27"/>
      <c r="Q25" s="79">
        <f t="shared" si="0"/>
        <v>867.19</v>
      </c>
      <c r="R25" s="80">
        <f t="shared" si="1"/>
        <v>109952.29</v>
      </c>
      <c r="S25" s="81">
        <f t="shared" si="2"/>
        <v>109085.09999999999</v>
      </c>
      <c r="T25" s="82">
        <f>R25+PENS!E27+DIABET!C26+INS!C27+MIXT!E26+TESTE!C27+TESTE!D27+'ONCOCOST VOLUM'!C26+ONCO!C26+POSTT!C26+SCLEROZ!C26+'CV UNICE'!C26+MUCOV!C26+MUCOV!D26</f>
        <v>147161.53</v>
      </c>
      <c r="U25" s="3"/>
    </row>
    <row r="26" spans="1:21" ht="15.75">
      <c r="A26" s="96">
        <v>22</v>
      </c>
      <c r="B26" s="97" t="s">
        <v>27</v>
      </c>
      <c r="C26" s="27">
        <v>7016.51</v>
      </c>
      <c r="D26" s="27">
        <v>3874</v>
      </c>
      <c r="E26" s="27">
        <v>2958.67</v>
      </c>
      <c r="F26" s="27">
        <v>841.64</v>
      </c>
      <c r="G26" s="27">
        <v>661.23</v>
      </c>
      <c r="H26" s="28"/>
      <c r="I26" s="27"/>
      <c r="J26" s="27"/>
      <c r="K26" s="27"/>
      <c r="L26" s="27"/>
      <c r="M26" s="27"/>
      <c r="N26" s="27"/>
      <c r="O26" s="27"/>
      <c r="P26" s="27"/>
      <c r="Q26" s="79">
        <f t="shared" si="0"/>
        <v>0</v>
      </c>
      <c r="R26" s="80">
        <f t="shared" si="1"/>
        <v>15352.05</v>
      </c>
      <c r="S26" s="81">
        <f t="shared" si="2"/>
        <v>15352.05</v>
      </c>
      <c r="T26" s="82">
        <f>R26+PENS!E28+DIABET!C27+INS!C28+MIXT!E27+TESTE!C28+TESTE!D28+'ONCOCOST VOLUM'!C27+ONCO!C27+POSTT!C27+SCLEROZ!C27+'CV UNICE'!C27+MUCOV!C27+MUCOV!D27</f>
        <v>19821.97</v>
      </c>
      <c r="U26" s="3"/>
    </row>
    <row r="27" spans="1:21" ht="15.75">
      <c r="A27" s="96">
        <v>23</v>
      </c>
      <c r="B27" s="97" t="s">
        <v>28</v>
      </c>
      <c r="C27" s="27">
        <v>9036.34</v>
      </c>
      <c r="D27" s="27">
        <v>6100.06</v>
      </c>
      <c r="E27" s="27">
        <v>4626.24</v>
      </c>
      <c r="F27" s="27">
        <v>1197.89</v>
      </c>
      <c r="G27" s="27">
        <v>907.45</v>
      </c>
      <c r="H27" s="28"/>
      <c r="I27" s="27"/>
      <c r="J27" s="27"/>
      <c r="K27" s="27"/>
      <c r="L27" s="27"/>
      <c r="M27" s="27"/>
      <c r="N27" s="27"/>
      <c r="O27" s="27"/>
      <c r="P27" s="27"/>
      <c r="Q27" s="79">
        <f t="shared" si="0"/>
        <v>0</v>
      </c>
      <c r="R27" s="80">
        <f t="shared" si="1"/>
        <v>21867.98</v>
      </c>
      <c r="S27" s="81">
        <f t="shared" si="2"/>
        <v>21867.98</v>
      </c>
      <c r="T27" s="82">
        <f>R27+PENS!E29+DIABET!C28+INS!C29+MIXT!E28+TESTE!C29+TESTE!D29+'ONCOCOST VOLUM'!C28+ONCO!C28+POSTT!C28+SCLEROZ!C28+'CV UNICE'!C28+MUCOV!C28+MUCOV!D28</f>
        <v>27782.94</v>
      </c>
      <c r="U27" s="3"/>
    </row>
    <row r="28" spans="1:21" ht="15.75">
      <c r="A28" s="96">
        <v>24</v>
      </c>
      <c r="B28" s="97" t="s">
        <v>29</v>
      </c>
      <c r="C28" s="27">
        <f>14687.7+10805.16+15847.65+13005.37</f>
        <v>54345.880000000005</v>
      </c>
      <c r="D28" s="27">
        <f>18082.37+12912.65+24258.69+15787.98</f>
        <v>71041.68999999999</v>
      </c>
      <c r="E28" s="27">
        <f>26094.19+1943.31+12379.77+10576.11</f>
        <v>50993.380000000005</v>
      </c>
      <c r="F28" s="27">
        <f>443.94+861.33+430.17+827.66</f>
        <v>2563.1</v>
      </c>
      <c r="G28" s="27">
        <f>1961.17+1406.59+2020.14+1798.77</f>
        <v>7186.67</v>
      </c>
      <c r="H28" s="28">
        <f>806.56+2601.54</f>
        <v>3408.1</v>
      </c>
      <c r="I28" s="27"/>
      <c r="J28" s="27">
        <v>7722.6</v>
      </c>
      <c r="K28" s="27">
        <f>3861.3+63039.26</f>
        <v>66900.56</v>
      </c>
      <c r="L28" s="27"/>
      <c r="M28" s="27">
        <v>5839.42</v>
      </c>
      <c r="N28" s="27">
        <f>3861.3+7722.6</f>
        <v>11583.900000000001</v>
      </c>
      <c r="O28" s="27">
        <v>54058.2</v>
      </c>
      <c r="P28" s="27">
        <v>3861.3</v>
      </c>
      <c r="Q28" s="79">
        <f t="shared" si="0"/>
        <v>153374.07999999996</v>
      </c>
      <c r="R28" s="80">
        <f t="shared" si="1"/>
        <v>339504.8</v>
      </c>
      <c r="S28" s="81">
        <f t="shared" si="2"/>
        <v>186130.72000000003</v>
      </c>
      <c r="T28" s="85">
        <f>R28+PENS!E30+DIABET!C29+INS!C30+MIXT!E29+TESTE!C30+TESTE!D30+'ONCOCOST VOLUM'!C29+ONCO!C29+POSTT!C29+SCLEROZ!C29+'CV UNICE'!C29+MUCOV!C29+MUCOV!D29</f>
        <v>427260.46</v>
      </c>
      <c r="U28" s="3"/>
    </row>
    <row r="29" spans="1:21" ht="15.75">
      <c r="A29" s="96">
        <v>25</v>
      </c>
      <c r="B29" s="97" t="s">
        <v>30</v>
      </c>
      <c r="C29" s="27">
        <v>3416.04</v>
      </c>
      <c r="D29" s="27">
        <v>8657.44</v>
      </c>
      <c r="E29" s="27">
        <v>4792.87</v>
      </c>
      <c r="F29" s="27">
        <v>314.12</v>
      </c>
      <c r="G29" s="27">
        <v>467.3</v>
      </c>
      <c r="H29" s="28"/>
      <c r="I29" s="27"/>
      <c r="J29" s="27"/>
      <c r="K29" s="27"/>
      <c r="L29" s="27"/>
      <c r="M29" s="27"/>
      <c r="N29" s="27">
        <v>3988.47</v>
      </c>
      <c r="O29" s="27"/>
      <c r="P29" s="27"/>
      <c r="Q29" s="79">
        <f t="shared" si="0"/>
        <v>3988.47</v>
      </c>
      <c r="R29" s="80">
        <f t="shared" si="1"/>
        <v>21636.239999999998</v>
      </c>
      <c r="S29" s="81">
        <f t="shared" si="2"/>
        <v>17647.769999999997</v>
      </c>
      <c r="T29" s="82">
        <f>R29+PENS!E31+DIABET!C30+INS!C31+MIXT!E30+TESTE!C31+TESTE!D31+'ONCOCOST VOLUM'!C30+ONCO!C30+POSTT!C30+SCLEROZ!C30+'CV UNICE'!C30+MUCOV!C30+MUCOV!D30</f>
        <v>91393.54</v>
      </c>
      <c r="U29" s="3"/>
    </row>
    <row r="30" spans="1:21" ht="15.75">
      <c r="A30" s="96">
        <v>26</v>
      </c>
      <c r="B30" s="97" t="s">
        <v>31</v>
      </c>
      <c r="C30" s="27">
        <v>19627.71</v>
      </c>
      <c r="D30" s="27">
        <v>19291.94</v>
      </c>
      <c r="E30" s="27">
        <v>5795.59</v>
      </c>
      <c r="F30" s="27">
        <v>2468.55</v>
      </c>
      <c r="G30" s="27">
        <v>2621.43</v>
      </c>
      <c r="H30" s="28"/>
      <c r="I30" s="27"/>
      <c r="J30" s="27"/>
      <c r="K30" s="27">
        <v>3332.88</v>
      </c>
      <c r="L30" s="27"/>
      <c r="M30" s="27"/>
      <c r="N30" s="27"/>
      <c r="O30" s="27"/>
      <c r="P30" s="27"/>
      <c r="Q30" s="79">
        <f t="shared" si="0"/>
        <v>3332.88</v>
      </c>
      <c r="R30" s="80">
        <f t="shared" si="1"/>
        <v>53138.09999999999</v>
      </c>
      <c r="S30" s="81">
        <f t="shared" si="2"/>
        <v>49805.219999999994</v>
      </c>
      <c r="T30" s="82">
        <f>R30+PENS!E32+DIABET!C31+INS!C32+MIXT!E31+TESTE!C32+TESTE!D32+'ONCOCOST VOLUM'!C31+ONCO!C31+POSTT!C31+SCLEROZ!C31+'CV UNICE'!C31+MUCOV!C31+MUCOV!D31</f>
        <v>68052.12999999999</v>
      </c>
      <c r="U30" s="3"/>
    </row>
    <row r="31" spans="1:21" ht="15.75">
      <c r="A31" s="96">
        <v>27</v>
      </c>
      <c r="B31" s="97" t="s">
        <v>32</v>
      </c>
      <c r="C31" s="27">
        <v>14681.77</v>
      </c>
      <c r="D31" s="27">
        <v>8953.58</v>
      </c>
      <c r="E31" s="27">
        <v>15516.73</v>
      </c>
      <c r="F31" s="27">
        <v>898.15</v>
      </c>
      <c r="G31" s="27">
        <v>1686.67</v>
      </c>
      <c r="H31" s="28"/>
      <c r="I31" s="27"/>
      <c r="J31" s="27"/>
      <c r="K31" s="27"/>
      <c r="L31" s="27"/>
      <c r="M31" s="27"/>
      <c r="N31" s="27"/>
      <c r="O31" s="27"/>
      <c r="P31" s="27"/>
      <c r="Q31" s="79">
        <f t="shared" si="0"/>
        <v>0</v>
      </c>
      <c r="R31" s="80">
        <f t="shared" si="1"/>
        <v>41736.9</v>
      </c>
      <c r="S31" s="81">
        <f t="shared" si="2"/>
        <v>41736.9</v>
      </c>
      <c r="T31" s="82">
        <f>R31+PENS!E33+DIABET!C32+INS!C33+MIXT!E32+TESTE!C33+TESTE!D33+'ONCOCOST VOLUM'!C32+ONCO!C32+POSTT!C32+SCLEROZ!C32+'CV UNICE'!C32+MUCOV!C32+MUCOV!D32</f>
        <v>48916.29</v>
      </c>
      <c r="U31" s="3"/>
    </row>
    <row r="32" spans="1:21" ht="15.75">
      <c r="A32" s="96">
        <v>28</v>
      </c>
      <c r="B32" s="97" t="s">
        <v>33</v>
      </c>
      <c r="C32" s="27">
        <f>11111.29+12937.65+21664.43</f>
        <v>45713.37</v>
      </c>
      <c r="D32" s="27">
        <f>9439.67+17138.93+25491.53</f>
        <v>52070.13</v>
      </c>
      <c r="E32" s="27">
        <f>4769.29+4120.54+8122.34</f>
        <v>17012.17</v>
      </c>
      <c r="F32" s="27">
        <f>819.69+781.03+556.79</f>
        <v>2157.51</v>
      </c>
      <c r="G32" s="27">
        <f>1303.29+1553.06+3382.59</f>
        <v>6238.9400000000005</v>
      </c>
      <c r="H32" s="28">
        <v>3124.16</v>
      </c>
      <c r="I32" s="27"/>
      <c r="J32" s="27"/>
      <c r="K32" s="27"/>
      <c r="L32" s="27"/>
      <c r="M32" s="27"/>
      <c r="N32" s="27">
        <v>3988.47</v>
      </c>
      <c r="O32" s="27"/>
      <c r="P32" s="27">
        <v>3861.3</v>
      </c>
      <c r="Q32" s="79">
        <f t="shared" si="0"/>
        <v>10973.93</v>
      </c>
      <c r="R32" s="80">
        <f t="shared" si="1"/>
        <v>134166.05</v>
      </c>
      <c r="S32" s="81">
        <f t="shared" si="2"/>
        <v>123192.12</v>
      </c>
      <c r="T32" s="85">
        <f>R32+PENS!E34+DIABET!C33+INS!C34+MIXT!E33+TESTE!C34+TESTE!D34+'ONCOCOST VOLUM'!C33+ONCO!C33+POSTT!C33+SCLEROZ!C33+'CV UNICE'!C33+MUCOV!C33+MUCOV!D33</f>
        <v>220889.32</v>
      </c>
      <c r="U32" s="3"/>
    </row>
    <row r="33" spans="1:21" ht="15.75">
      <c r="A33" s="96">
        <v>29</v>
      </c>
      <c r="B33" s="97" t="s">
        <v>34</v>
      </c>
      <c r="C33" s="27">
        <v>34713.19</v>
      </c>
      <c r="D33" s="27">
        <v>37504.12</v>
      </c>
      <c r="E33" s="27">
        <v>16697.13</v>
      </c>
      <c r="F33" s="27">
        <v>2776.1</v>
      </c>
      <c r="G33" s="27">
        <v>4680.38</v>
      </c>
      <c r="H33" s="28">
        <v>3991.35</v>
      </c>
      <c r="I33" s="27"/>
      <c r="J33" s="27"/>
      <c r="K33" s="27"/>
      <c r="L33" s="27"/>
      <c r="M33" s="27">
        <v>4251.21</v>
      </c>
      <c r="N33" s="27">
        <v>7722.6</v>
      </c>
      <c r="O33" s="27"/>
      <c r="P33" s="27"/>
      <c r="Q33" s="79">
        <f t="shared" si="0"/>
        <v>15965.16</v>
      </c>
      <c r="R33" s="80">
        <f t="shared" si="1"/>
        <v>112336.08000000002</v>
      </c>
      <c r="S33" s="81">
        <f t="shared" si="2"/>
        <v>96370.92000000001</v>
      </c>
      <c r="T33" s="82">
        <f>R33+PENS!E35+DIABET!C34+INS!C35+MIXT!E34+TESTE!C35+TESTE!D35+'ONCOCOST VOLUM'!C34+ONCO!C34+POSTT!C34+SCLEROZ!C34+'CV UNICE'!C34+MUCOV!C34+MUCOV!D34</f>
        <v>132921.34000000003</v>
      </c>
      <c r="U33" s="3"/>
    </row>
    <row r="34" spans="1:21" ht="15.75">
      <c r="A34" s="96">
        <v>30</v>
      </c>
      <c r="B34" s="97" t="s">
        <v>35</v>
      </c>
      <c r="C34" s="27">
        <v>5254.31</v>
      </c>
      <c r="D34" s="27">
        <v>4375.82</v>
      </c>
      <c r="E34" s="27">
        <v>2957.47</v>
      </c>
      <c r="F34" s="27">
        <v>388.83</v>
      </c>
      <c r="G34" s="27">
        <v>492.7</v>
      </c>
      <c r="H34" s="28"/>
      <c r="I34" s="27"/>
      <c r="J34" s="27"/>
      <c r="K34" s="27"/>
      <c r="L34" s="27"/>
      <c r="M34" s="27"/>
      <c r="N34" s="27"/>
      <c r="O34" s="27"/>
      <c r="P34" s="27"/>
      <c r="Q34" s="79">
        <f t="shared" si="0"/>
        <v>0</v>
      </c>
      <c r="R34" s="80">
        <f t="shared" si="1"/>
        <v>13469.130000000001</v>
      </c>
      <c r="S34" s="81">
        <f t="shared" si="2"/>
        <v>13469.130000000001</v>
      </c>
      <c r="T34" s="82">
        <f>R34+PENS!E36+DIABET!C35+INS!C36+MIXT!E35+TESTE!C36+TESTE!D36+'ONCOCOST VOLUM'!C35+ONCO!C35+POSTT!C35+SCLEROZ!C35+'CV UNICE'!C35+MUCOV!C35+MUCOV!D35</f>
        <v>19767.19</v>
      </c>
      <c r="U34" s="3"/>
    </row>
    <row r="35" spans="1:21" ht="15.75">
      <c r="A35" s="96">
        <v>31</v>
      </c>
      <c r="B35" s="97" t="s">
        <v>88</v>
      </c>
      <c r="C35" s="27">
        <v>6110.18</v>
      </c>
      <c r="D35" s="27">
        <v>5364.18</v>
      </c>
      <c r="E35" s="27">
        <v>2139.85</v>
      </c>
      <c r="F35" s="27">
        <v>494.98</v>
      </c>
      <c r="G35" s="27">
        <v>789.85</v>
      </c>
      <c r="H35" s="28"/>
      <c r="I35" s="27"/>
      <c r="J35" s="27"/>
      <c r="K35" s="27"/>
      <c r="L35" s="27"/>
      <c r="M35" s="27"/>
      <c r="N35" s="27"/>
      <c r="O35" s="27"/>
      <c r="P35" s="27"/>
      <c r="Q35" s="79">
        <f t="shared" si="0"/>
        <v>0</v>
      </c>
      <c r="R35" s="80">
        <f t="shared" si="1"/>
        <v>14899.04</v>
      </c>
      <c r="S35" s="81">
        <f t="shared" si="2"/>
        <v>14899.04</v>
      </c>
      <c r="T35" s="82">
        <f>R35+PENS!E37+DIABET!C36+INS!C37+MIXT!E36+TESTE!C37+TESTE!D37+'ONCOCOST VOLUM'!C36+ONCO!C36+POSTT!C36+SCLEROZ!C36+'CV UNICE'!C36+MUCOV!C36+MUCOV!D36</f>
        <v>17650.25</v>
      </c>
      <c r="U35" s="3"/>
    </row>
    <row r="36" spans="1:21" ht="15.75">
      <c r="A36" s="96">
        <v>32</v>
      </c>
      <c r="B36" s="97" t="s">
        <v>91</v>
      </c>
      <c r="C36" s="27">
        <f>14005.59+4290.37+2706.81</f>
        <v>21002.77</v>
      </c>
      <c r="D36" s="27">
        <f>11926.34+3067.54+2797.78</f>
        <v>17791.66</v>
      </c>
      <c r="E36" s="27">
        <f>15838.57+1828.04+2112.95</f>
        <v>19779.56</v>
      </c>
      <c r="F36" s="27">
        <f>1342.24+265.93+153.19</f>
        <v>1761.3600000000001</v>
      </c>
      <c r="G36" s="27">
        <f>1117.64+407+285.92</f>
        <v>1810.5600000000002</v>
      </c>
      <c r="H36" s="28"/>
      <c r="I36" s="27"/>
      <c r="J36" s="27"/>
      <c r="K36" s="27"/>
      <c r="L36" s="27"/>
      <c r="M36" s="27">
        <v>2919.71</v>
      </c>
      <c r="N36" s="27"/>
      <c r="O36" s="27"/>
      <c r="P36" s="27">
        <v>3861.3</v>
      </c>
      <c r="Q36" s="79">
        <f t="shared" si="0"/>
        <v>6781.01</v>
      </c>
      <c r="R36" s="80">
        <f t="shared" si="1"/>
        <v>68926.92</v>
      </c>
      <c r="S36" s="81">
        <f t="shared" si="2"/>
        <v>62145.909999999996</v>
      </c>
      <c r="T36" s="82">
        <f>R36+PENS!E38+DIABET!C37+INS!C38+MIXT!E37+TESTE!C38+TESTE!D38+'ONCOCOST VOLUM'!C37+ONCO!C37+POSTT!C37+SCLEROZ!C37+'CV UNICE'!C37+MUCOV!C37+MUCOV!D37</f>
        <v>99790.48999999999</v>
      </c>
      <c r="U36" s="3"/>
    </row>
    <row r="37" spans="1:21" ht="15.75">
      <c r="A37" s="96">
        <v>33</v>
      </c>
      <c r="B37" s="97" t="s">
        <v>92</v>
      </c>
      <c r="C37" s="27">
        <v>23975.35</v>
      </c>
      <c r="D37" s="27">
        <v>27279.01</v>
      </c>
      <c r="E37" s="27">
        <v>12497.61</v>
      </c>
      <c r="F37" s="27">
        <v>1271.8</v>
      </c>
      <c r="G37" s="27">
        <v>3330.45</v>
      </c>
      <c r="H37" s="28"/>
      <c r="I37" s="27"/>
      <c r="J37" s="27"/>
      <c r="K37" s="27"/>
      <c r="L37" s="27"/>
      <c r="M37" s="27"/>
      <c r="N37" s="27"/>
      <c r="O37" s="27"/>
      <c r="P37" s="27"/>
      <c r="Q37" s="79">
        <f t="shared" si="0"/>
        <v>0</v>
      </c>
      <c r="R37" s="80">
        <f t="shared" si="1"/>
        <v>68354.22</v>
      </c>
      <c r="S37" s="81">
        <f t="shared" si="2"/>
        <v>68354.22</v>
      </c>
      <c r="T37" s="82">
        <f>R37+PENS!E39+DIABET!C38+INS!C39+MIXT!E38+TESTE!C39+TESTE!D39+'ONCOCOST VOLUM'!C38+ONCO!C38+POSTT!C38+SCLEROZ!C38+'CV UNICE'!C38+MUCOV!C38+MUCOV!D38</f>
        <v>148464.48</v>
      </c>
      <c r="U37" s="3"/>
    </row>
    <row r="38" spans="1:21" ht="15.75">
      <c r="A38" s="96">
        <v>34</v>
      </c>
      <c r="B38" s="97" t="s">
        <v>94</v>
      </c>
      <c r="C38" s="27">
        <v>1587.67</v>
      </c>
      <c r="D38" s="27">
        <v>1214.28</v>
      </c>
      <c r="E38" s="27">
        <v>314.25</v>
      </c>
      <c r="F38" s="27">
        <v>119.61</v>
      </c>
      <c r="G38" s="27">
        <v>121.91</v>
      </c>
      <c r="H38" s="28"/>
      <c r="I38" s="27"/>
      <c r="J38" s="27"/>
      <c r="K38" s="27"/>
      <c r="L38" s="27"/>
      <c r="M38" s="27"/>
      <c r="N38" s="27"/>
      <c r="O38" s="27"/>
      <c r="P38" s="27"/>
      <c r="Q38" s="79">
        <f t="shared" si="0"/>
        <v>0</v>
      </c>
      <c r="R38" s="80">
        <f t="shared" si="1"/>
        <v>3357.72</v>
      </c>
      <c r="S38" s="81">
        <f t="shared" si="2"/>
        <v>3357.72</v>
      </c>
      <c r="T38" s="82">
        <f>R38+PENS!E40+DIABET!C39+INS!C40+MIXT!E39+TESTE!C40+TESTE!D40+'ONCOCOST VOLUM'!C39+ONCO!C39+POSTT!C39+SCLEROZ!C39+'CV UNICE'!C39+MUCOV!C39+MUCOV!D39</f>
        <v>4771.42</v>
      </c>
      <c r="U38" s="3"/>
    </row>
    <row r="39" spans="1:21" ht="15.75">
      <c r="A39" s="96">
        <v>35</v>
      </c>
      <c r="B39" s="97" t="s">
        <v>97</v>
      </c>
      <c r="C39" s="27">
        <v>6626.65</v>
      </c>
      <c r="D39" s="27">
        <v>5617.57</v>
      </c>
      <c r="E39" s="27">
        <v>3186.17</v>
      </c>
      <c r="F39" s="27">
        <v>1122.33</v>
      </c>
      <c r="G39" s="27">
        <v>928.9</v>
      </c>
      <c r="H39" s="28"/>
      <c r="I39" s="27"/>
      <c r="J39" s="27"/>
      <c r="K39" s="27"/>
      <c r="L39" s="27"/>
      <c r="M39" s="27"/>
      <c r="N39" s="27"/>
      <c r="O39" s="27"/>
      <c r="P39" s="27"/>
      <c r="Q39" s="79">
        <f t="shared" si="0"/>
        <v>0</v>
      </c>
      <c r="R39" s="80">
        <f t="shared" si="1"/>
        <v>17481.620000000003</v>
      </c>
      <c r="S39" s="81">
        <f t="shared" si="2"/>
        <v>17481.620000000003</v>
      </c>
      <c r="T39" s="82">
        <f>R39+PENS!E41+DIABET!C40+INS!C41+MIXT!E40+TESTE!C41+TESTE!D41+'ONCOCOST VOLUM'!C40+ONCO!C40+POSTT!C40+SCLEROZ!C40+'CV UNICE'!C40+MUCOV!C40+MUCOV!D40</f>
        <v>22190.48</v>
      </c>
      <c r="U39" s="3"/>
    </row>
    <row r="40" spans="1:21" ht="15.75">
      <c r="A40" s="96">
        <v>36</v>
      </c>
      <c r="B40" s="97" t="s">
        <v>98</v>
      </c>
      <c r="C40" s="27">
        <v>6339.97</v>
      </c>
      <c r="D40" s="27">
        <v>4288.61</v>
      </c>
      <c r="E40" s="27">
        <v>4572.9</v>
      </c>
      <c r="F40" s="27">
        <v>119.33</v>
      </c>
      <c r="G40" s="27">
        <v>195.73</v>
      </c>
      <c r="H40" s="28"/>
      <c r="I40" s="27"/>
      <c r="J40" s="27"/>
      <c r="K40" s="27"/>
      <c r="L40" s="27"/>
      <c r="M40" s="27"/>
      <c r="N40" s="27"/>
      <c r="O40" s="27"/>
      <c r="P40" s="27"/>
      <c r="Q40" s="79">
        <f t="shared" si="0"/>
        <v>0</v>
      </c>
      <c r="R40" s="80">
        <f t="shared" si="1"/>
        <v>15516.539999999999</v>
      </c>
      <c r="S40" s="81">
        <f t="shared" si="2"/>
        <v>15516.539999999999</v>
      </c>
      <c r="T40" s="82">
        <f>R40+PENS!E42+DIABET!C41+INS!C42+MIXT!E41+TESTE!C42+TESTE!D42+'ONCOCOST VOLUM'!C41+ONCO!C41+POSTT!C41+SCLEROZ!C41+'CV UNICE'!C41+MUCOV!C41+MUCOV!D41</f>
        <v>17236.21</v>
      </c>
      <c r="U40" s="3"/>
    </row>
    <row r="41" spans="1:59" s="76" customFormat="1" ht="16.5" thickBot="1">
      <c r="A41" s="96">
        <v>37</v>
      </c>
      <c r="B41" s="97" t="s">
        <v>102</v>
      </c>
      <c r="C41" s="27">
        <v>6466.53</v>
      </c>
      <c r="D41" s="27">
        <v>6708.14</v>
      </c>
      <c r="E41" s="27">
        <v>4273.77</v>
      </c>
      <c r="F41" s="27">
        <v>513.25</v>
      </c>
      <c r="G41" s="27">
        <v>647.64</v>
      </c>
      <c r="H41" s="28"/>
      <c r="I41" s="27"/>
      <c r="J41" s="27"/>
      <c r="K41" s="27"/>
      <c r="L41" s="27"/>
      <c r="M41" s="27"/>
      <c r="N41" s="27"/>
      <c r="O41" s="27"/>
      <c r="P41" s="27"/>
      <c r="Q41" s="79">
        <f t="shared" si="0"/>
        <v>0</v>
      </c>
      <c r="R41" s="80">
        <f t="shared" si="1"/>
        <v>18609.33</v>
      </c>
      <c r="S41" s="81">
        <f t="shared" si="2"/>
        <v>18609.33</v>
      </c>
      <c r="T41" s="82">
        <f>R41+PENS!E43+DIABET!C42+INS!C43+MIXT!E42+TESTE!C43+TESTE!D43+'ONCOCOST VOLUM'!C42+ONCO!C42+POSTT!C42+SCLEROZ!C42+'CV UNICE'!C42+MUCOV!C42+MUCOV!D42</f>
        <v>23808.600000000002</v>
      </c>
      <c r="U41" s="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s="104" customFormat="1" ht="26.25" customHeight="1" thickBot="1">
      <c r="A42" s="101"/>
      <c r="B42" s="97" t="s">
        <v>36</v>
      </c>
      <c r="C42" s="79">
        <f>SUM(C5:C41)</f>
        <v>819692.4500000002</v>
      </c>
      <c r="D42" s="79">
        <f>SUM(D5:D41)</f>
        <v>868072.4099999999</v>
      </c>
      <c r="E42" s="79">
        <f>SUM(E5:E41)</f>
        <v>710892.7200000001</v>
      </c>
      <c r="F42" s="79">
        <f>SUM(F5:F41)</f>
        <v>77103.58</v>
      </c>
      <c r="G42" s="79">
        <f>SUM(G5:G41)</f>
        <v>100420.96999999999</v>
      </c>
      <c r="H42" s="79">
        <f aca="true" t="shared" si="3" ref="H42:P42">SUM(H5:H41)</f>
        <v>48004.07</v>
      </c>
      <c r="I42" s="79">
        <f t="shared" si="3"/>
        <v>0</v>
      </c>
      <c r="J42" s="79">
        <f t="shared" si="3"/>
        <v>25098.450000000004</v>
      </c>
      <c r="K42" s="79">
        <f t="shared" si="3"/>
        <v>169781.72</v>
      </c>
      <c r="L42" s="79">
        <f t="shared" si="3"/>
        <v>1946.25</v>
      </c>
      <c r="M42" s="79">
        <f t="shared" si="3"/>
        <v>21967.01</v>
      </c>
      <c r="N42" s="79">
        <f t="shared" si="3"/>
        <v>88113.79000000001</v>
      </c>
      <c r="O42" s="79">
        <f t="shared" si="3"/>
        <v>67298.16</v>
      </c>
      <c r="P42" s="79">
        <f t="shared" si="3"/>
        <v>19306.5</v>
      </c>
      <c r="Q42" s="79">
        <f t="shared" si="0"/>
        <v>441515.95000000007</v>
      </c>
      <c r="R42" s="80">
        <f t="shared" si="1"/>
        <v>3017698.0800000005</v>
      </c>
      <c r="S42" s="81">
        <f t="shared" si="2"/>
        <v>2576182.1300000004</v>
      </c>
      <c r="T42" s="79">
        <f>R42+PENS!E44+DIABET!C43+INS!C44+MIXT!E43+TESTE!C44+TESTE!D44+'ONCOCOST VOLUM'!C43+ONCO!C43+POSTT!C43+SCLEROZ!C43+'CV UNICE'!C43+MUCOV!C43+MUCOV!D43</f>
        <v>4448461.13</v>
      </c>
      <c r="U42" s="102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</row>
    <row r="43" spans="2:20" ht="15.75">
      <c r="B43" s="30"/>
      <c r="C43" s="31"/>
      <c r="D43" s="31"/>
      <c r="E43" s="31"/>
      <c r="F43" s="32"/>
      <c r="G43" s="32"/>
      <c r="H43" s="33"/>
      <c r="I43" s="31"/>
      <c r="J43" s="31"/>
      <c r="K43" s="31"/>
      <c r="L43" s="31"/>
      <c r="M43" s="31"/>
      <c r="N43" s="31"/>
      <c r="O43" s="31"/>
      <c r="P43" s="31"/>
      <c r="Q43" s="31"/>
      <c r="S43" s="33"/>
      <c r="T43" s="26"/>
    </row>
    <row r="44" spans="2:20" ht="15.75">
      <c r="B44" s="34"/>
      <c r="C44" s="31"/>
      <c r="D44" s="31"/>
      <c r="E44" s="31"/>
      <c r="F44" s="32"/>
      <c r="G44" s="32"/>
      <c r="H44" s="33"/>
      <c r="I44" s="31"/>
      <c r="J44" s="31"/>
      <c r="K44" s="31"/>
      <c r="L44" s="31"/>
      <c r="M44" s="31"/>
      <c r="N44" s="31"/>
      <c r="O44" s="31"/>
      <c r="P44" s="31"/>
      <c r="Q44" s="31"/>
      <c r="S44" s="33"/>
      <c r="T44" s="26"/>
    </row>
    <row r="45" spans="2:18" ht="15">
      <c r="B45" s="9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  <c r="R45" s="3"/>
    </row>
    <row r="46" spans="2:17" ht="15">
      <c r="B46" s="9"/>
      <c r="C46" s="1"/>
      <c r="D46" s="1"/>
      <c r="E46" s="1"/>
      <c r="F46" s="2"/>
      <c r="G46" s="2"/>
      <c r="H46" s="17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spans="2:17" ht="15">
      <c r="B48" s="9"/>
      <c r="C48" s="1"/>
      <c r="D48" s="1"/>
      <c r="E48" s="1"/>
      <c r="F48" s="2"/>
      <c r="G48" s="2"/>
      <c r="H48" s="16"/>
      <c r="I48" s="1"/>
      <c r="J48" s="1"/>
      <c r="K48" s="1"/>
      <c r="L48" s="1"/>
      <c r="M48" s="1"/>
      <c r="N48" s="1"/>
      <c r="O48" s="1"/>
      <c r="P48" s="1"/>
      <c r="Q48" s="1"/>
    </row>
    <row r="49" ht="12.75">
      <c r="B49" s="15"/>
    </row>
    <row r="50" spans="2:11" ht="12.75">
      <c r="B50" s="10"/>
      <c r="F50" s="3"/>
      <c r="G50" s="3"/>
      <c r="K50" s="3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spans="2:19" ht="12.75">
      <c r="B61" s="11"/>
      <c r="C61" s="4"/>
      <c r="D61" s="4"/>
      <c r="E61" s="4"/>
      <c r="F61" s="4"/>
      <c r="G61" s="4"/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14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52"/>
  <sheetViews>
    <sheetView workbookViewId="0" topLeftCell="A13">
      <selection activeCell="E52" sqref="E52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87" t="s">
        <v>126</v>
      </c>
      <c r="B3" s="87"/>
      <c r="C3" s="87"/>
      <c r="D3" s="87"/>
      <c r="E3" s="87"/>
      <c r="F3" s="87"/>
      <c r="G3" s="87"/>
      <c r="H3" s="87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50" t="s">
        <v>0</v>
      </c>
      <c r="B5" s="50" t="s">
        <v>1</v>
      </c>
      <c r="C5" s="52" t="s">
        <v>52</v>
      </c>
      <c r="D5" s="49"/>
      <c r="E5" s="1"/>
      <c r="F5" s="1"/>
      <c r="G5" s="37"/>
      <c r="H5" s="37"/>
    </row>
    <row r="6" spans="1:8" ht="15">
      <c r="A6" s="40" t="s">
        <v>80</v>
      </c>
      <c r="B6" s="7" t="s">
        <v>6</v>
      </c>
      <c r="C6" s="8">
        <v>434.55</v>
      </c>
      <c r="D6" s="12"/>
      <c r="E6" s="1"/>
      <c r="F6" s="1"/>
      <c r="G6" s="37"/>
      <c r="H6" s="37"/>
    </row>
    <row r="7" spans="1:8" ht="15">
      <c r="A7" s="40" t="s">
        <v>53</v>
      </c>
      <c r="B7" s="7" t="s">
        <v>40</v>
      </c>
      <c r="C7" s="48"/>
      <c r="D7" s="12"/>
      <c r="E7" s="1"/>
      <c r="F7" s="1"/>
      <c r="G7" s="37"/>
      <c r="H7" s="37"/>
    </row>
    <row r="8" spans="1:8" ht="15">
      <c r="A8" s="40" t="s">
        <v>54</v>
      </c>
      <c r="B8" s="7" t="s">
        <v>8</v>
      </c>
      <c r="C8" s="48"/>
      <c r="D8" s="12"/>
      <c r="E8" s="1"/>
      <c r="F8" s="1"/>
      <c r="G8" s="37"/>
      <c r="H8" s="37"/>
    </row>
    <row r="9" spans="1:8" ht="15">
      <c r="A9" s="40" t="s">
        <v>55</v>
      </c>
      <c r="B9" s="7" t="s">
        <v>9</v>
      </c>
      <c r="C9" s="48"/>
      <c r="D9" s="12"/>
      <c r="E9" s="1"/>
      <c r="F9" s="1"/>
      <c r="G9" s="37"/>
      <c r="H9" s="37"/>
    </row>
    <row r="10" spans="1:8" ht="15">
      <c r="A10" s="40" t="s">
        <v>56</v>
      </c>
      <c r="B10" s="7" t="s">
        <v>10</v>
      </c>
      <c r="C10" s="48"/>
      <c r="D10" s="12"/>
      <c r="E10" s="1"/>
      <c r="F10" s="1"/>
      <c r="G10" s="37"/>
      <c r="H10" s="37"/>
    </row>
    <row r="11" spans="1:8" ht="15">
      <c r="A11" s="40" t="s">
        <v>57</v>
      </c>
      <c r="B11" s="7" t="s">
        <v>11</v>
      </c>
      <c r="C11" s="48"/>
      <c r="D11" s="12"/>
      <c r="E11" s="1"/>
      <c r="F11" s="1"/>
      <c r="G11" s="37"/>
      <c r="H11" s="37"/>
    </row>
    <row r="12" spans="1:8" ht="15">
      <c r="A12" s="40" t="s">
        <v>58</v>
      </c>
      <c r="B12" s="7" t="s">
        <v>12</v>
      </c>
      <c r="C12" s="48"/>
      <c r="D12" s="12"/>
      <c r="E12" s="1"/>
      <c r="F12" s="1"/>
      <c r="G12" s="37"/>
      <c r="H12" s="37"/>
    </row>
    <row r="13" spans="1:8" ht="15">
      <c r="A13" s="40" t="s">
        <v>59</v>
      </c>
      <c r="B13" s="7" t="s">
        <v>13</v>
      </c>
      <c r="C13" s="48"/>
      <c r="D13" s="12"/>
      <c r="E13" s="1"/>
      <c r="F13" s="1"/>
      <c r="G13" s="37"/>
      <c r="H13" s="37"/>
    </row>
    <row r="14" spans="1:8" ht="15">
      <c r="A14" s="40" t="s">
        <v>60</v>
      </c>
      <c r="B14" s="7" t="s">
        <v>14</v>
      </c>
      <c r="C14" s="48"/>
      <c r="D14" s="12"/>
      <c r="E14" s="1"/>
      <c r="F14" s="1"/>
      <c r="G14" s="37"/>
      <c r="H14" s="37"/>
    </row>
    <row r="15" spans="1:8" ht="15">
      <c r="A15" s="40" t="s">
        <v>61</v>
      </c>
      <c r="B15" s="7" t="s">
        <v>15</v>
      </c>
      <c r="C15" s="8">
        <v>392.5</v>
      </c>
      <c r="D15" s="12"/>
      <c r="E15" s="1"/>
      <c r="F15" s="1"/>
      <c r="G15" s="37"/>
      <c r="H15" s="37"/>
    </row>
    <row r="16" spans="1:8" ht="15">
      <c r="A16" s="40" t="s">
        <v>62</v>
      </c>
      <c r="B16" s="7" t="s">
        <v>16</v>
      </c>
      <c r="C16" s="48"/>
      <c r="D16" s="12"/>
      <c r="E16" s="1"/>
      <c r="F16" s="1"/>
      <c r="G16" s="37"/>
      <c r="H16" s="37"/>
    </row>
    <row r="17" spans="1:8" ht="15">
      <c r="A17" s="40" t="s">
        <v>63</v>
      </c>
      <c r="B17" s="7" t="s">
        <v>41</v>
      </c>
      <c r="C17" s="48"/>
      <c r="D17" s="12"/>
      <c r="E17" s="1"/>
      <c r="F17" s="1"/>
      <c r="G17" s="37"/>
      <c r="H17" s="37"/>
    </row>
    <row r="18" spans="1:8" ht="15">
      <c r="A18" s="40" t="s">
        <v>64</v>
      </c>
      <c r="B18" s="7" t="s">
        <v>18</v>
      </c>
      <c r="C18" s="48"/>
      <c r="D18" s="12"/>
      <c r="E18" s="1"/>
      <c r="F18" s="1"/>
      <c r="G18" s="37"/>
      <c r="H18" s="37"/>
    </row>
    <row r="19" spans="1:8" ht="15">
      <c r="A19" s="40" t="s">
        <v>65</v>
      </c>
      <c r="B19" s="7" t="s">
        <v>19</v>
      </c>
      <c r="C19" s="48"/>
      <c r="D19" s="12"/>
      <c r="E19" s="1"/>
      <c r="F19" s="1"/>
      <c r="G19" s="37"/>
      <c r="H19" s="37"/>
    </row>
    <row r="20" spans="1:8" ht="15">
      <c r="A20" s="40" t="s">
        <v>66</v>
      </c>
      <c r="B20" s="7" t="s">
        <v>20</v>
      </c>
      <c r="C20" s="8">
        <v>420.53</v>
      </c>
      <c r="D20" s="12"/>
      <c r="E20" s="1"/>
      <c r="F20" s="1"/>
      <c r="G20" s="37"/>
      <c r="H20" s="37"/>
    </row>
    <row r="21" spans="1:8" ht="15">
      <c r="A21" s="40" t="s">
        <v>67</v>
      </c>
      <c r="B21" s="7" t="s">
        <v>21</v>
      </c>
      <c r="C21" s="48"/>
      <c r="D21" s="12"/>
      <c r="E21" s="1"/>
      <c r="F21" s="1"/>
      <c r="G21" s="37"/>
      <c r="H21" s="37"/>
    </row>
    <row r="22" spans="1:8" ht="15">
      <c r="A22" s="40" t="s">
        <v>68</v>
      </c>
      <c r="B22" s="7" t="s">
        <v>22</v>
      </c>
      <c r="C22" s="48"/>
      <c r="D22" s="12"/>
      <c r="E22" s="1"/>
      <c r="F22" s="1"/>
      <c r="G22" s="37"/>
      <c r="H22" s="37"/>
    </row>
    <row r="23" spans="1:8" ht="15">
      <c r="A23" s="40" t="s">
        <v>69</v>
      </c>
      <c r="B23" s="7" t="s">
        <v>23</v>
      </c>
      <c r="C23" s="48"/>
      <c r="D23" s="12"/>
      <c r="E23" s="1"/>
      <c r="F23" s="1"/>
      <c r="G23" s="37"/>
      <c r="H23" s="37"/>
    </row>
    <row r="24" spans="1:8" ht="15">
      <c r="A24" s="40" t="s">
        <v>70</v>
      </c>
      <c r="B24" s="7" t="s">
        <v>24</v>
      </c>
      <c r="C24" s="48"/>
      <c r="D24" s="12"/>
      <c r="E24" s="1"/>
      <c r="F24" s="1"/>
      <c r="G24" s="37"/>
      <c r="H24" s="37"/>
    </row>
    <row r="25" spans="1:8" ht="15">
      <c r="A25" s="40" t="s">
        <v>71</v>
      </c>
      <c r="B25" s="7" t="s">
        <v>25</v>
      </c>
      <c r="C25" s="48"/>
      <c r="D25" s="12"/>
      <c r="E25" s="1"/>
      <c r="F25" s="1"/>
      <c r="G25" s="37"/>
      <c r="H25" s="37"/>
    </row>
    <row r="26" spans="1:8" ht="15">
      <c r="A26" s="40" t="s">
        <v>72</v>
      </c>
      <c r="B26" s="7" t="s">
        <v>26</v>
      </c>
      <c r="C26" s="48"/>
      <c r="D26" s="12"/>
      <c r="E26" s="1"/>
      <c r="F26" s="1"/>
      <c r="G26" s="37"/>
      <c r="H26" s="37"/>
    </row>
    <row r="27" spans="1:8" ht="15">
      <c r="A27" s="40" t="s">
        <v>73</v>
      </c>
      <c r="B27" s="7" t="s">
        <v>27</v>
      </c>
      <c r="C27" s="48"/>
      <c r="D27" s="12"/>
      <c r="E27" s="1"/>
      <c r="F27" s="1"/>
      <c r="G27" s="37"/>
      <c r="H27" s="37"/>
    </row>
    <row r="28" spans="1:8" ht="15">
      <c r="A28" s="40" t="s">
        <v>74</v>
      </c>
      <c r="B28" s="7" t="s">
        <v>28</v>
      </c>
      <c r="C28" s="48"/>
      <c r="D28" s="12"/>
      <c r="E28" s="1"/>
      <c r="F28" s="1"/>
      <c r="G28" s="37"/>
      <c r="H28" s="37"/>
    </row>
    <row r="29" spans="1:8" ht="15">
      <c r="A29" s="40" t="s">
        <v>75</v>
      </c>
      <c r="B29" s="7" t="s">
        <v>29</v>
      </c>
      <c r="C29" s="8">
        <v>434.55</v>
      </c>
      <c r="D29" s="12"/>
      <c r="E29" s="1"/>
      <c r="F29" s="1"/>
      <c r="G29" s="37"/>
      <c r="H29" s="37"/>
    </row>
    <row r="30" spans="1:8" ht="15">
      <c r="A30" s="40" t="s">
        <v>76</v>
      </c>
      <c r="B30" s="7" t="s">
        <v>30</v>
      </c>
      <c r="C30" s="48"/>
      <c r="D30" s="12"/>
      <c r="E30" s="1"/>
      <c r="F30" s="1"/>
      <c r="G30" s="37"/>
      <c r="H30" s="37"/>
    </row>
    <row r="31" spans="1:8" ht="15">
      <c r="A31" s="40" t="s">
        <v>77</v>
      </c>
      <c r="B31" s="7" t="s">
        <v>31</v>
      </c>
      <c r="C31" s="48"/>
      <c r="D31" s="12"/>
      <c r="E31" s="1"/>
      <c r="F31" s="1"/>
      <c r="G31" s="37"/>
      <c r="H31" s="37"/>
    </row>
    <row r="32" spans="1:8" ht="15">
      <c r="A32" s="40" t="s">
        <v>78</v>
      </c>
      <c r="B32" s="7" t="s">
        <v>32</v>
      </c>
      <c r="C32" s="48"/>
      <c r="D32" s="12"/>
      <c r="E32" s="1"/>
      <c r="F32" s="1"/>
      <c r="G32" s="37"/>
      <c r="H32" s="37"/>
    </row>
    <row r="33" spans="1:8" ht="15">
      <c r="A33" s="40" t="s">
        <v>79</v>
      </c>
      <c r="B33" s="7" t="s">
        <v>33</v>
      </c>
      <c r="C33" s="48"/>
      <c r="D33" s="12"/>
      <c r="E33" s="1"/>
      <c r="F33" s="1"/>
      <c r="G33" s="37"/>
      <c r="H33" s="37"/>
    </row>
    <row r="34" spans="1:8" ht="15">
      <c r="A34" s="40" t="s">
        <v>81</v>
      </c>
      <c r="B34" s="7" t="s">
        <v>34</v>
      </c>
      <c r="C34" s="48"/>
      <c r="D34" s="12"/>
      <c r="E34" s="1"/>
      <c r="F34" s="1"/>
      <c r="G34" s="37"/>
      <c r="H34" s="37"/>
    </row>
    <row r="35" spans="1:8" ht="15">
      <c r="A35" s="40" t="s">
        <v>82</v>
      </c>
      <c r="B35" s="7" t="s">
        <v>35</v>
      </c>
      <c r="C35" s="48"/>
      <c r="D35" s="12"/>
      <c r="E35" s="1"/>
      <c r="F35" s="1"/>
      <c r="G35" s="37"/>
      <c r="H35" s="37"/>
    </row>
    <row r="36" spans="1:8" ht="15">
      <c r="A36" s="40" t="s">
        <v>83</v>
      </c>
      <c r="B36" s="7" t="s">
        <v>89</v>
      </c>
      <c r="C36" s="48"/>
      <c r="D36" s="12"/>
      <c r="E36" s="1"/>
      <c r="F36" s="1"/>
      <c r="G36" s="37"/>
      <c r="H36" s="37"/>
    </row>
    <row r="37" spans="1:8" ht="15">
      <c r="A37" s="40" t="s">
        <v>84</v>
      </c>
      <c r="B37" s="7" t="s">
        <v>91</v>
      </c>
      <c r="C37" s="48"/>
      <c r="D37" s="12"/>
      <c r="E37" s="1"/>
      <c r="F37" s="1"/>
      <c r="G37" s="37"/>
      <c r="H37" s="37"/>
    </row>
    <row r="38" spans="1:8" ht="15">
      <c r="A38" s="40" t="s">
        <v>85</v>
      </c>
      <c r="B38" s="7" t="s">
        <v>92</v>
      </c>
      <c r="C38" s="48"/>
      <c r="D38" s="12"/>
      <c r="E38" s="1"/>
      <c r="F38" s="1"/>
      <c r="G38" s="37"/>
      <c r="H38" s="37"/>
    </row>
    <row r="39" spans="1:8" ht="15">
      <c r="A39" s="40" t="s">
        <v>86</v>
      </c>
      <c r="B39" s="7" t="s">
        <v>94</v>
      </c>
      <c r="C39" s="48"/>
      <c r="D39" s="12"/>
      <c r="E39" s="1"/>
      <c r="F39" s="1"/>
      <c r="G39" s="37"/>
      <c r="H39" s="37"/>
    </row>
    <row r="40" spans="1:8" ht="15">
      <c r="A40" s="40" t="s">
        <v>87</v>
      </c>
      <c r="B40" s="7" t="s">
        <v>97</v>
      </c>
      <c r="C40" s="48"/>
      <c r="D40" s="12"/>
      <c r="E40" s="1"/>
      <c r="F40" s="1"/>
      <c r="G40" s="37"/>
      <c r="H40" s="37"/>
    </row>
    <row r="41" spans="1:8" ht="15">
      <c r="A41" s="40" t="s">
        <v>93</v>
      </c>
      <c r="B41" s="7" t="s">
        <v>98</v>
      </c>
      <c r="C41" s="48"/>
      <c r="D41" s="12"/>
      <c r="E41" s="1"/>
      <c r="F41" s="1"/>
      <c r="G41" s="37"/>
      <c r="H41" s="37"/>
    </row>
    <row r="42" spans="1:8" ht="15.75" thickBot="1">
      <c r="A42" s="40" t="s">
        <v>95</v>
      </c>
      <c r="B42" s="7" t="s">
        <v>102</v>
      </c>
      <c r="C42" s="73"/>
      <c r="D42" s="12"/>
      <c r="E42" s="1"/>
      <c r="F42" s="1"/>
      <c r="G42" s="37"/>
      <c r="H42" s="37"/>
    </row>
    <row r="43" spans="1:8" ht="15.75" thickBot="1">
      <c r="A43" s="55"/>
      <c r="B43" s="56" t="s">
        <v>36</v>
      </c>
      <c r="C43" s="57">
        <f>SUM(C6:C42)</f>
        <v>1682.1299999999999</v>
      </c>
      <c r="D43" s="46"/>
      <c r="E43" s="1"/>
      <c r="F43" s="1"/>
      <c r="G43" s="37"/>
      <c r="H43" s="37"/>
    </row>
    <row r="44" spans="1:8" ht="14.25">
      <c r="A44" s="37"/>
      <c r="B44" s="37"/>
      <c r="C44" s="39"/>
      <c r="D44" s="1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1"/>
      <c r="G45" s="37"/>
      <c r="H45" s="37"/>
    </row>
    <row r="52" ht="12.75">
      <c r="E52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6">
      <selection activeCell="F10" sqref="F10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87" t="s">
        <v>128</v>
      </c>
      <c r="B3" s="87"/>
      <c r="C3" s="87"/>
      <c r="D3" s="87"/>
      <c r="E3" s="87"/>
      <c r="F3" s="87"/>
      <c r="G3" s="87"/>
      <c r="H3" s="87"/>
      <c r="I3" s="87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60">
      <c r="A5" s="50" t="s">
        <v>0</v>
      </c>
      <c r="B5" s="50" t="s">
        <v>1</v>
      </c>
      <c r="C5" s="52" t="s">
        <v>115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>
        <v>653.56</v>
      </c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>
        <v>653.56</v>
      </c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>
        <v>326.78</v>
      </c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326.78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>
        <f>326.78+326.78</f>
        <v>653.56</v>
      </c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>
        <v>326.78</v>
      </c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/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>
        <v>326.78</v>
      </c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>
        <f>653.56+653.56+980.34</f>
        <v>2287.46</v>
      </c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/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>
        <v>326.78</v>
      </c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>
        <v>326.77</v>
      </c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>
        <f>326.77+653.54</f>
        <v>980.31</v>
      </c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/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/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>
        <v>326.78</v>
      </c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>
        <v>326.78</v>
      </c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59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59" t="s">
        <v>102</v>
      </c>
      <c r="C42" s="58"/>
      <c r="D42" s="47"/>
      <c r="E42" s="12"/>
      <c r="F42" s="1"/>
      <c r="G42" s="1"/>
      <c r="H42" s="37"/>
      <c r="I42" s="37"/>
    </row>
    <row r="43" spans="1:9" ht="15.75" thickBot="1">
      <c r="A43" s="55"/>
      <c r="B43" s="56" t="s">
        <v>36</v>
      </c>
      <c r="C43" s="57">
        <f>SUM(C6:C42)</f>
        <v>7842.6799999999985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">
      <selection activeCell="J15" sqref="J15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5">
      <c r="A3" s="90" t="s">
        <v>127</v>
      </c>
      <c r="B3" s="90"/>
      <c r="C3" s="90"/>
      <c r="D3" s="90"/>
      <c r="E3" s="90"/>
      <c r="F3" s="90"/>
      <c r="G3" s="90"/>
      <c r="H3" s="90"/>
      <c r="I3" s="90"/>
    </row>
    <row r="4" spans="1:9" ht="14.25">
      <c r="A4" s="89"/>
      <c r="B4" s="89"/>
      <c r="C4" s="89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100</v>
      </c>
      <c r="D5" s="52" t="s">
        <v>101</v>
      </c>
      <c r="E5" s="37"/>
      <c r="F5" s="37"/>
      <c r="G5" s="37"/>
      <c r="H5" s="37"/>
      <c r="I5" s="37"/>
    </row>
    <row r="6" spans="1:9" ht="15">
      <c r="A6" s="40" t="s">
        <v>80</v>
      </c>
      <c r="B6" s="7" t="s">
        <v>6</v>
      </c>
      <c r="C6" s="8"/>
      <c r="D6" s="6"/>
      <c r="E6" s="37"/>
      <c r="F6" s="37"/>
      <c r="G6" s="37"/>
      <c r="H6" s="37"/>
      <c r="I6" s="37"/>
    </row>
    <row r="7" spans="1:9" ht="15">
      <c r="A7" s="40" t="s">
        <v>53</v>
      </c>
      <c r="B7" s="7" t="s">
        <v>40</v>
      </c>
      <c r="C7" s="48"/>
      <c r="D7" s="6"/>
      <c r="E7" s="37"/>
      <c r="F7" s="37"/>
      <c r="G7" s="37"/>
      <c r="H7" s="37"/>
      <c r="I7" s="37"/>
    </row>
    <row r="8" spans="1:9" ht="15">
      <c r="A8" s="40" t="s">
        <v>54</v>
      </c>
      <c r="B8" s="7" t="s">
        <v>8</v>
      </c>
      <c r="C8" s="8"/>
      <c r="D8" s="6"/>
      <c r="E8" s="37"/>
      <c r="F8" s="37"/>
      <c r="G8" s="37"/>
      <c r="H8" s="37"/>
      <c r="I8" s="37"/>
    </row>
    <row r="9" spans="1:9" ht="15">
      <c r="A9" s="40" t="s">
        <v>55</v>
      </c>
      <c r="B9" s="7" t="s">
        <v>9</v>
      </c>
      <c r="C9" s="8"/>
      <c r="D9" s="6"/>
      <c r="E9" s="37"/>
      <c r="F9" s="37"/>
      <c r="G9" s="37"/>
      <c r="H9" s="37"/>
      <c r="I9" s="37"/>
    </row>
    <row r="10" spans="1:9" ht="15">
      <c r="A10" s="40" t="s">
        <v>56</v>
      </c>
      <c r="B10" s="7" t="s">
        <v>10</v>
      </c>
      <c r="C10" s="8"/>
      <c r="D10" s="6"/>
      <c r="E10" s="37"/>
      <c r="F10" s="37"/>
      <c r="G10" s="37"/>
      <c r="H10" s="37"/>
      <c r="I10" s="37"/>
    </row>
    <row r="11" spans="1:9" ht="15">
      <c r="A11" s="40" t="s">
        <v>57</v>
      </c>
      <c r="B11" s="7" t="s">
        <v>11</v>
      </c>
      <c r="C11" s="8"/>
      <c r="D11" s="6"/>
      <c r="E11" s="37"/>
      <c r="F11" s="37"/>
      <c r="G11" s="37"/>
      <c r="H11" s="37"/>
      <c r="I11" s="37"/>
    </row>
    <row r="12" spans="1:9" ht="15">
      <c r="A12" s="40" t="s">
        <v>58</v>
      </c>
      <c r="B12" s="7" t="s">
        <v>12</v>
      </c>
      <c r="C12" s="8"/>
      <c r="D12" s="6"/>
      <c r="E12" s="37"/>
      <c r="F12" s="37"/>
      <c r="G12" s="37"/>
      <c r="H12" s="37"/>
      <c r="I12" s="37"/>
    </row>
    <row r="13" spans="1:9" ht="15">
      <c r="A13" s="40" t="s">
        <v>59</v>
      </c>
      <c r="B13" s="7" t="s">
        <v>13</v>
      </c>
      <c r="C13" s="8"/>
      <c r="D13" s="6"/>
      <c r="E13" s="37"/>
      <c r="F13" s="37"/>
      <c r="G13" s="37"/>
      <c r="H13" s="37"/>
      <c r="I13" s="37"/>
    </row>
    <row r="14" spans="1:9" ht="15">
      <c r="A14" s="40" t="s">
        <v>60</v>
      </c>
      <c r="B14" s="7" t="s">
        <v>14</v>
      </c>
      <c r="C14" s="8"/>
      <c r="D14" s="7">
        <v>8177.34</v>
      </c>
      <c r="E14" s="37"/>
      <c r="F14" s="37"/>
      <c r="G14" s="37"/>
      <c r="H14" s="37"/>
      <c r="I14" s="37"/>
    </row>
    <row r="15" spans="1:9" ht="15">
      <c r="A15" s="40" t="s">
        <v>61</v>
      </c>
      <c r="B15" s="7" t="s">
        <v>15</v>
      </c>
      <c r="C15" s="8"/>
      <c r="D15" s="6"/>
      <c r="E15" s="37"/>
      <c r="F15" s="37"/>
      <c r="G15" s="37"/>
      <c r="H15" s="37"/>
      <c r="I15" s="37"/>
    </row>
    <row r="16" spans="1:9" ht="15">
      <c r="A16" s="40" t="s">
        <v>62</v>
      </c>
      <c r="B16" s="7" t="s">
        <v>16</v>
      </c>
      <c r="C16" s="8">
        <v>292.22</v>
      </c>
      <c r="D16" s="6"/>
      <c r="E16" s="37"/>
      <c r="F16" s="37"/>
      <c r="G16" s="37"/>
      <c r="H16" s="37"/>
      <c r="I16" s="37"/>
    </row>
    <row r="17" spans="1:9" ht="15">
      <c r="A17" s="40" t="s">
        <v>63</v>
      </c>
      <c r="B17" s="7" t="s">
        <v>41</v>
      </c>
      <c r="C17" s="8"/>
      <c r="D17" s="6"/>
      <c r="E17" s="37"/>
      <c r="F17" s="37"/>
      <c r="G17" s="37"/>
      <c r="H17" s="37"/>
      <c r="I17" s="37"/>
    </row>
    <row r="18" spans="1:9" ht="15">
      <c r="A18" s="40" t="s">
        <v>64</v>
      </c>
      <c r="B18" s="7" t="s">
        <v>18</v>
      </c>
      <c r="C18" s="8"/>
      <c r="D18" s="6"/>
      <c r="E18" s="37"/>
      <c r="F18" s="37"/>
      <c r="G18" s="37"/>
      <c r="H18" s="37"/>
      <c r="I18" s="37"/>
    </row>
    <row r="19" spans="1:9" ht="15">
      <c r="A19" s="40" t="s">
        <v>65</v>
      </c>
      <c r="B19" s="7" t="s">
        <v>19</v>
      </c>
      <c r="C19" s="8"/>
      <c r="D19" s="6"/>
      <c r="E19" s="37"/>
      <c r="F19" s="37"/>
      <c r="G19" s="37"/>
      <c r="H19" s="37"/>
      <c r="I19" s="37"/>
    </row>
    <row r="20" spans="1:9" ht="15">
      <c r="A20" s="40" t="s">
        <v>66</v>
      </c>
      <c r="B20" s="7" t="s">
        <v>20</v>
      </c>
      <c r="C20" s="8">
        <v>8689.43</v>
      </c>
      <c r="D20" s="7">
        <v>15981.78</v>
      </c>
      <c r="E20" s="37"/>
      <c r="F20" s="37"/>
      <c r="G20" s="37"/>
      <c r="H20" s="37"/>
      <c r="I20" s="37"/>
    </row>
    <row r="21" spans="1:9" ht="15">
      <c r="A21" s="40" t="s">
        <v>67</v>
      </c>
      <c r="B21" s="7" t="s">
        <v>21</v>
      </c>
      <c r="C21" s="8"/>
      <c r="D21" s="6"/>
      <c r="E21" s="37"/>
      <c r="F21" s="37"/>
      <c r="G21" s="37"/>
      <c r="H21" s="37"/>
      <c r="I21" s="37"/>
    </row>
    <row r="22" spans="1:9" ht="15">
      <c r="A22" s="40" t="s">
        <v>68</v>
      </c>
      <c r="B22" s="7" t="s">
        <v>22</v>
      </c>
      <c r="C22" s="8"/>
      <c r="D22" s="6"/>
      <c r="E22" s="37"/>
      <c r="F22" s="37"/>
      <c r="G22" s="37"/>
      <c r="H22" s="37"/>
      <c r="I22" s="37"/>
    </row>
    <row r="23" spans="1:9" ht="15">
      <c r="A23" s="40" t="s">
        <v>69</v>
      </c>
      <c r="B23" s="7" t="s">
        <v>23</v>
      </c>
      <c r="C23" s="8"/>
      <c r="D23" s="6"/>
      <c r="E23" s="37"/>
      <c r="F23" s="37"/>
      <c r="G23" s="37"/>
      <c r="H23" s="37"/>
      <c r="I23" s="37"/>
    </row>
    <row r="24" spans="1:9" ht="15">
      <c r="A24" s="40" t="s">
        <v>70</v>
      </c>
      <c r="B24" s="7" t="s">
        <v>24</v>
      </c>
      <c r="C24" s="8"/>
      <c r="D24" s="6"/>
      <c r="E24" s="37"/>
      <c r="F24" s="37"/>
      <c r="G24" s="37"/>
      <c r="H24" s="37"/>
      <c r="I24" s="37"/>
    </row>
    <row r="25" spans="1:9" ht="15">
      <c r="A25" s="40" t="s">
        <v>71</v>
      </c>
      <c r="B25" s="7" t="s">
        <v>25</v>
      </c>
      <c r="C25" s="8"/>
      <c r="D25" s="6"/>
      <c r="E25" s="37"/>
      <c r="F25" s="37"/>
      <c r="G25" s="37"/>
      <c r="H25" s="37"/>
      <c r="I25" s="37"/>
    </row>
    <row r="26" spans="1:9" ht="15">
      <c r="A26" s="40" t="s">
        <v>72</v>
      </c>
      <c r="B26" s="7" t="s">
        <v>26</v>
      </c>
      <c r="C26" s="8"/>
      <c r="D26" s="7">
        <v>10810.2</v>
      </c>
      <c r="E26" s="37"/>
      <c r="F26" s="37"/>
      <c r="G26" s="37"/>
      <c r="H26" s="37"/>
      <c r="I26" s="37"/>
    </row>
    <row r="27" spans="1:9" ht="15">
      <c r="A27" s="40" t="s">
        <v>73</v>
      </c>
      <c r="B27" s="7" t="s">
        <v>27</v>
      </c>
      <c r="C27" s="8"/>
      <c r="D27" s="6"/>
      <c r="E27" s="37"/>
      <c r="F27" s="37"/>
      <c r="G27" s="37"/>
      <c r="H27" s="37"/>
      <c r="I27" s="37"/>
    </row>
    <row r="28" spans="1:9" ht="15">
      <c r="A28" s="40" t="s">
        <v>74</v>
      </c>
      <c r="B28" s="7" t="s">
        <v>28</v>
      </c>
      <c r="C28" s="8"/>
      <c r="D28" s="6"/>
      <c r="E28" s="37"/>
      <c r="F28" s="37"/>
      <c r="G28" s="37"/>
      <c r="H28" s="37"/>
      <c r="I28" s="37"/>
    </row>
    <row r="29" spans="1:9" ht="15">
      <c r="A29" s="40" t="s">
        <v>75</v>
      </c>
      <c r="B29" s="7" t="s">
        <v>29</v>
      </c>
      <c r="C29" s="8"/>
      <c r="D29" s="7"/>
      <c r="E29" s="37"/>
      <c r="F29" s="37"/>
      <c r="G29" s="37"/>
      <c r="H29" s="37"/>
      <c r="I29" s="37"/>
    </row>
    <row r="30" spans="1:9" ht="15">
      <c r="A30" s="40" t="s">
        <v>76</v>
      </c>
      <c r="B30" s="7" t="s">
        <v>30</v>
      </c>
      <c r="C30" s="8"/>
      <c r="D30" s="6"/>
      <c r="E30" s="37"/>
      <c r="F30" s="37"/>
      <c r="G30" s="37"/>
      <c r="H30" s="37"/>
      <c r="I30" s="37"/>
    </row>
    <row r="31" spans="1:9" ht="15">
      <c r="A31" s="40" t="s">
        <v>77</v>
      </c>
      <c r="B31" s="7" t="s">
        <v>31</v>
      </c>
      <c r="C31" s="8"/>
      <c r="D31" s="6"/>
      <c r="E31" s="37"/>
      <c r="F31" s="37"/>
      <c r="G31" s="37"/>
      <c r="H31" s="37"/>
      <c r="I31" s="37"/>
    </row>
    <row r="32" spans="1:9" ht="15">
      <c r="A32" s="40" t="s">
        <v>78</v>
      </c>
      <c r="B32" s="7" t="s">
        <v>32</v>
      </c>
      <c r="C32" s="8"/>
      <c r="D32" s="6"/>
      <c r="E32" s="37"/>
      <c r="F32" s="37"/>
      <c r="G32" s="37"/>
      <c r="H32" s="37"/>
      <c r="I32" s="37"/>
    </row>
    <row r="33" spans="1:9" ht="15">
      <c r="A33" s="40" t="s">
        <v>79</v>
      </c>
      <c r="B33" s="7" t="s">
        <v>33</v>
      </c>
      <c r="C33" s="8"/>
      <c r="D33" s="7">
        <v>1118.7</v>
      </c>
      <c r="E33" s="37"/>
      <c r="F33" s="37"/>
      <c r="G33" s="37"/>
      <c r="H33" s="37"/>
      <c r="I33" s="37"/>
    </row>
    <row r="34" spans="1:9" ht="15">
      <c r="A34" s="40" t="s">
        <v>81</v>
      </c>
      <c r="B34" s="7" t="s">
        <v>34</v>
      </c>
      <c r="C34" s="8"/>
      <c r="D34" s="6"/>
      <c r="E34" s="37"/>
      <c r="F34" s="37"/>
      <c r="G34" s="37"/>
      <c r="H34" s="37"/>
      <c r="I34" s="37"/>
    </row>
    <row r="35" spans="1:9" ht="15">
      <c r="A35" s="40" t="s">
        <v>82</v>
      </c>
      <c r="B35" s="7" t="s">
        <v>35</v>
      </c>
      <c r="C35" s="8"/>
      <c r="D35" s="6"/>
      <c r="E35" s="37"/>
      <c r="F35" s="37"/>
      <c r="G35" s="37"/>
      <c r="H35" s="37"/>
      <c r="I35" s="37"/>
    </row>
    <row r="36" spans="1:9" ht="15">
      <c r="A36" s="40" t="s">
        <v>83</v>
      </c>
      <c r="B36" s="7" t="s">
        <v>88</v>
      </c>
      <c r="C36" s="8"/>
      <c r="D36" s="6"/>
      <c r="E36" s="37"/>
      <c r="F36" s="37"/>
      <c r="G36" s="37"/>
      <c r="H36" s="37"/>
      <c r="I36" s="37"/>
    </row>
    <row r="37" spans="1:9" ht="15">
      <c r="A37" s="40" t="s">
        <v>84</v>
      </c>
      <c r="B37" s="7" t="s">
        <v>91</v>
      </c>
      <c r="C37" s="8"/>
      <c r="D37" s="7"/>
      <c r="E37" s="37"/>
      <c r="F37" s="37"/>
      <c r="G37" s="37"/>
      <c r="H37" s="37"/>
      <c r="I37" s="37"/>
    </row>
    <row r="38" spans="1:9" ht="15">
      <c r="A38" s="40" t="s">
        <v>85</v>
      </c>
      <c r="B38" s="7" t="s">
        <v>92</v>
      </c>
      <c r="C38" s="48"/>
      <c r="D38" s="6"/>
      <c r="E38" s="37"/>
      <c r="F38" s="37"/>
      <c r="G38" s="37"/>
      <c r="H38" s="37"/>
      <c r="I38" s="37"/>
    </row>
    <row r="39" spans="1:9" ht="15">
      <c r="A39" s="40" t="s">
        <v>86</v>
      </c>
      <c r="B39" s="7" t="s">
        <v>94</v>
      </c>
      <c r="C39" s="48"/>
      <c r="D39" s="6"/>
      <c r="E39" s="37"/>
      <c r="F39" s="37"/>
      <c r="G39" s="37"/>
      <c r="H39" s="37"/>
      <c r="I39" s="37"/>
    </row>
    <row r="40" spans="1:9" ht="15">
      <c r="A40" s="40" t="s">
        <v>87</v>
      </c>
      <c r="B40" s="7" t="s">
        <v>97</v>
      </c>
      <c r="C40" s="48"/>
      <c r="D40" s="6"/>
      <c r="E40" s="37"/>
      <c r="F40" s="37"/>
      <c r="G40" s="37"/>
      <c r="H40" s="37"/>
      <c r="I40" s="37"/>
    </row>
    <row r="41" spans="1:9" ht="15">
      <c r="A41" s="40" t="s">
        <v>93</v>
      </c>
      <c r="B41" s="7" t="s">
        <v>98</v>
      </c>
      <c r="C41" s="48"/>
      <c r="D41" s="6"/>
      <c r="E41" s="37"/>
      <c r="F41" s="37"/>
      <c r="G41" s="37"/>
      <c r="H41" s="37"/>
      <c r="I41" s="37"/>
    </row>
    <row r="42" spans="1:9" ht="15.75" thickBot="1">
      <c r="A42" s="40" t="s">
        <v>95</v>
      </c>
      <c r="B42" s="7" t="s">
        <v>102</v>
      </c>
      <c r="C42" s="73"/>
      <c r="D42" s="60"/>
      <c r="E42" s="37"/>
      <c r="F42" s="37"/>
      <c r="G42" s="37"/>
      <c r="H42" s="37"/>
      <c r="I42" s="37"/>
    </row>
    <row r="43" spans="1:9" ht="15.75" thickBot="1">
      <c r="A43" s="72"/>
      <c r="B43" s="74" t="s">
        <v>36</v>
      </c>
      <c r="C43" s="75">
        <f>SUM(C6:C42)</f>
        <v>8981.65</v>
      </c>
      <c r="D43" s="57">
        <f>SUM(D6:D42)</f>
        <v>36088.020000000004</v>
      </c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5"/>
  <sheetViews>
    <sheetView workbookViewId="0" topLeftCell="A13">
      <selection activeCell="D19" sqref="D19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86" t="s">
        <v>118</v>
      </c>
      <c r="B3" s="86"/>
      <c r="C3" s="86"/>
      <c r="D3" s="86"/>
      <c r="E3" s="86"/>
      <c r="F3" s="86"/>
      <c r="G3" s="86"/>
    </row>
    <row r="4" spans="1:7" ht="15">
      <c r="A4" s="35"/>
      <c r="B4" s="36"/>
      <c r="C4" s="36"/>
      <c r="D4" s="35"/>
      <c r="E4" s="35"/>
      <c r="F4" s="35"/>
      <c r="G4" s="37"/>
    </row>
    <row r="5" spans="1:7" ht="15" thickBot="1">
      <c r="A5" s="37"/>
      <c r="B5" s="37"/>
      <c r="C5" s="38"/>
      <c r="D5" s="37"/>
      <c r="E5" s="39"/>
      <c r="F5" s="37"/>
      <c r="G5" s="37"/>
    </row>
    <row r="6" spans="1:7" ht="30.75" thickBot="1">
      <c r="A6" s="68" t="s">
        <v>0</v>
      </c>
      <c r="B6" s="69" t="s">
        <v>1</v>
      </c>
      <c r="C6" s="70" t="s">
        <v>37</v>
      </c>
      <c r="D6" s="70" t="s">
        <v>38</v>
      </c>
      <c r="E6" s="71" t="s">
        <v>39</v>
      </c>
      <c r="F6" s="37"/>
      <c r="G6" s="37"/>
    </row>
    <row r="7" spans="1:7" ht="15">
      <c r="A7" s="64" t="s">
        <v>80</v>
      </c>
      <c r="B7" s="65" t="s">
        <v>6</v>
      </c>
      <c r="C7" s="66">
        <v>2726.5</v>
      </c>
      <c r="D7" s="66">
        <v>2177.75</v>
      </c>
      <c r="E7" s="67">
        <f>C7+D7</f>
        <v>4904.25</v>
      </c>
      <c r="F7" s="37"/>
      <c r="G7" s="37"/>
    </row>
    <row r="8" spans="1:7" ht="15">
      <c r="A8" s="40" t="s">
        <v>53</v>
      </c>
      <c r="B8" s="7" t="s">
        <v>40</v>
      </c>
      <c r="C8" s="6">
        <f>1054.35+2398.15</f>
        <v>3452.5</v>
      </c>
      <c r="D8" s="6">
        <f>843.5+1918.19</f>
        <v>2761.69</v>
      </c>
      <c r="E8" s="67">
        <f aca="true" t="shared" si="0" ref="E8:E44">C8+D8</f>
        <v>6214.1900000000005</v>
      </c>
      <c r="F8" s="37"/>
      <c r="G8" s="37"/>
    </row>
    <row r="9" spans="1:7" ht="15">
      <c r="A9" s="40" t="s">
        <v>54</v>
      </c>
      <c r="B9" s="7" t="s">
        <v>8</v>
      </c>
      <c r="C9" s="3">
        <v>4223.23</v>
      </c>
      <c r="D9" s="6">
        <v>3378.42</v>
      </c>
      <c r="E9" s="67">
        <f t="shared" si="0"/>
        <v>7601.65</v>
      </c>
      <c r="F9" s="37"/>
      <c r="G9" s="37"/>
    </row>
    <row r="10" spans="1:7" ht="15">
      <c r="A10" s="40" t="s">
        <v>55</v>
      </c>
      <c r="B10" s="7" t="s">
        <v>9</v>
      </c>
      <c r="C10" s="6">
        <f>400.38+135.31+451.78</f>
        <v>987.47</v>
      </c>
      <c r="D10" s="6">
        <f>320.3+108.27+361.47</f>
        <v>790.04</v>
      </c>
      <c r="E10" s="67">
        <f t="shared" si="0"/>
        <v>1777.51</v>
      </c>
      <c r="F10" s="37"/>
      <c r="G10" s="37"/>
    </row>
    <row r="11" spans="1:7" ht="15">
      <c r="A11" s="40" t="s">
        <v>56</v>
      </c>
      <c r="B11" s="7" t="s">
        <v>10</v>
      </c>
      <c r="C11" s="6">
        <f>1296.73+2416.76</f>
        <v>3713.4900000000002</v>
      </c>
      <c r="D11" s="6">
        <f>1035.14+1933.26</f>
        <v>2968.4</v>
      </c>
      <c r="E11" s="67">
        <f t="shared" si="0"/>
        <v>6681.89</v>
      </c>
      <c r="F11" s="37"/>
      <c r="G11" s="37"/>
    </row>
    <row r="12" spans="1:7" ht="15">
      <c r="A12" s="40" t="s">
        <v>57</v>
      </c>
      <c r="B12" s="7" t="s">
        <v>11</v>
      </c>
      <c r="C12" s="6">
        <v>1779.29</v>
      </c>
      <c r="D12" s="6">
        <v>1423.34</v>
      </c>
      <c r="E12" s="67">
        <f t="shared" si="0"/>
        <v>3202.63</v>
      </c>
      <c r="F12" s="37"/>
      <c r="G12" s="37"/>
    </row>
    <row r="13" spans="1:7" ht="15">
      <c r="A13" s="40" t="s">
        <v>58</v>
      </c>
      <c r="B13" s="7" t="s">
        <v>12</v>
      </c>
      <c r="C13" s="6">
        <v>941.65</v>
      </c>
      <c r="D13" s="6">
        <v>753.4</v>
      </c>
      <c r="E13" s="67">
        <f t="shared" si="0"/>
        <v>1695.05</v>
      </c>
      <c r="F13" s="37"/>
      <c r="G13" s="37"/>
    </row>
    <row r="14" spans="1:7" ht="15">
      <c r="A14" s="40" t="s">
        <v>59</v>
      </c>
      <c r="B14" s="7" t="s">
        <v>13</v>
      </c>
      <c r="C14" s="6">
        <f>96.6+1240.26+955.88+1620.84+1870.88</f>
        <v>5784.46</v>
      </c>
      <c r="D14" s="6">
        <f>77.28+992.09+764.76+1296.7+1496.6</f>
        <v>4627.43</v>
      </c>
      <c r="E14" s="67">
        <f t="shared" si="0"/>
        <v>10411.89</v>
      </c>
      <c r="F14" s="37"/>
      <c r="G14" s="37"/>
    </row>
    <row r="15" spans="1:7" ht="15">
      <c r="A15" s="40" t="s">
        <v>60</v>
      </c>
      <c r="B15" s="7" t="s">
        <v>14</v>
      </c>
      <c r="C15" s="6">
        <f>1464.77+1624.63+1918.56+1167.23</f>
        <v>6175.1900000000005</v>
      </c>
      <c r="D15" s="6">
        <f>1171.83+1299.85+1535.02+933.8</f>
        <v>4940.5</v>
      </c>
      <c r="E15" s="67">
        <f t="shared" si="0"/>
        <v>11115.69</v>
      </c>
      <c r="F15" s="37"/>
      <c r="G15" s="37"/>
    </row>
    <row r="16" spans="1:7" ht="15">
      <c r="A16" s="40" t="s">
        <v>61</v>
      </c>
      <c r="B16" s="7" t="s">
        <v>15</v>
      </c>
      <c r="C16" s="6">
        <v>431.19</v>
      </c>
      <c r="D16" s="6">
        <v>344.94</v>
      </c>
      <c r="E16" s="67">
        <f t="shared" si="0"/>
        <v>776.13</v>
      </c>
      <c r="F16" s="37"/>
      <c r="G16" s="37"/>
    </row>
    <row r="17" spans="1:7" ht="15">
      <c r="A17" s="40" t="s">
        <v>62</v>
      </c>
      <c r="B17" s="7" t="s">
        <v>16</v>
      </c>
      <c r="C17" s="6">
        <v>3392.17</v>
      </c>
      <c r="D17" s="6">
        <v>2717.08</v>
      </c>
      <c r="E17" s="67">
        <f t="shared" si="0"/>
        <v>6109.25</v>
      </c>
      <c r="F17" s="37"/>
      <c r="G17" s="37"/>
    </row>
    <row r="18" spans="1:7" ht="15">
      <c r="A18" s="40" t="s">
        <v>63</v>
      </c>
      <c r="B18" s="7" t="s">
        <v>41</v>
      </c>
      <c r="C18" s="6">
        <f>3211.39+4644.76+3335.02</f>
        <v>11191.17</v>
      </c>
      <c r="D18" s="6">
        <f>2569.21+3715.87+2668.22</f>
        <v>8953.3</v>
      </c>
      <c r="E18" s="67">
        <f t="shared" si="0"/>
        <v>20144.47</v>
      </c>
      <c r="F18" s="37"/>
      <c r="G18" s="37"/>
    </row>
    <row r="19" spans="1:7" ht="15">
      <c r="A19" s="40" t="s">
        <v>64</v>
      </c>
      <c r="B19" s="7" t="s">
        <v>18</v>
      </c>
      <c r="C19" s="6">
        <v>5078.89</v>
      </c>
      <c r="D19" s="6">
        <v>4062.92</v>
      </c>
      <c r="E19" s="67">
        <f t="shared" si="0"/>
        <v>9141.810000000001</v>
      </c>
      <c r="F19" s="37"/>
      <c r="G19" s="37"/>
    </row>
    <row r="20" spans="1:7" ht="15">
      <c r="A20" s="40" t="s">
        <v>65</v>
      </c>
      <c r="B20" s="7" t="s">
        <v>19</v>
      </c>
      <c r="C20" s="6">
        <v>1042.83</v>
      </c>
      <c r="D20" s="6">
        <v>834.33</v>
      </c>
      <c r="E20" s="67">
        <f t="shared" si="0"/>
        <v>1877.1599999999999</v>
      </c>
      <c r="F20" s="37"/>
      <c r="G20" s="37"/>
    </row>
    <row r="21" spans="1:7" ht="15">
      <c r="A21" s="40" t="s">
        <v>66</v>
      </c>
      <c r="B21" s="7" t="s">
        <v>20</v>
      </c>
      <c r="C21" s="6">
        <f>944.63+2134.01</f>
        <v>3078.6400000000003</v>
      </c>
      <c r="D21" s="6">
        <f>755.71+1707.22</f>
        <v>2462.9300000000003</v>
      </c>
      <c r="E21" s="67">
        <f t="shared" si="0"/>
        <v>5541.570000000001</v>
      </c>
      <c r="F21" s="37"/>
      <c r="G21" s="37"/>
    </row>
    <row r="22" spans="1:7" ht="15">
      <c r="A22" s="40" t="s">
        <v>67</v>
      </c>
      <c r="B22" s="7" t="s">
        <v>21</v>
      </c>
      <c r="C22" s="6">
        <f>746.74+3180.95</f>
        <v>3927.6899999999996</v>
      </c>
      <c r="D22" s="6">
        <f>597.34+2544.75</f>
        <v>3142.09</v>
      </c>
      <c r="E22" s="67">
        <f t="shared" si="0"/>
        <v>7069.78</v>
      </c>
      <c r="F22" s="37"/>
      <c r="G22" s="37"/>
    </row>
    <row r="23" spans="1:7" ht="15">
      <c r="A23" s="40" t="s">
        <v>68</v>
      </c>
      <c r="B23" s="7" t="s">
        <v>22</v>
      </c>
      <c r="C23" s="6">
        <v>668.96</v>
      </c>
      <c r="D23" s="6">
        <v>538.34</v>
      </c>
      <c r="E23" s="67">
        <f t="shared" si="0"/>
        <v>1207.3000000000002</v>
      </c>
      <c r="F23" s="37"/>
      <c r="G23" s="37"/>
    </row>
    <row r="24" spans="1:7" ht="15">
      <c r="A24" s="40" t="s">
        <v>69</v>
      </c>
      <c r="B24" s="7" t="s">
        <v>23</v>
      </c>
      <c r="C24" s="6">
        <v>413.52</v>
      </c>
      <c r="D24" s="6">
        <v>330.78</v>
      </c>
      <c r="E24" s="67">
        <f t="shared" si="0"/>
        <v>744.3</v>
      </c>
      <c r="F24" s="37"/>
      <c r="G24" s="37"/>
    </row>
    <row r="25" spans="1:7" ht="15">
      <c r="A25" s="40" t="s">
        <v>70</v>
      </c>
      <c r="B25" s="7" t="s">
        <v>24</v>
      </c>
      <c r="C25" s="6">
        <v>1431</v>
      </c>
      <c r="D25" s="6">
        <v>1144.81</v>
      </c>
      <c r="E25" s="67">
        <f t="shared" si="0"/>
        <v>2575.81</v>
      </c>
      <c r="F25" s="37"/>
      <c r="G25" s="37"/>
    </row>
    <row r="26" spans="1:7" ht="15">
      <c r="A26" s="40" t="s">
        <v>71</v>
      </c>
      <c r="B26" s="7" t="s">
        <v>25</v>
      </c>
      <c r="C26" s="6">
        <v>1486.81</v>
      </c>
      <c r="D26" s="6">
        <v>1189.26</v>
      </c>
      <c r="E26" s="67">
        <f t="shared" si="0"/>
        <v>2676.0699999999997</v>
      </c>
      <c r="F26" s="37"/>
      <c r="G26" s="37"/>
    </row>
    <row r="27" spans="1:7" ht="15">
      <c r="A27" s="40" t="s">
        <v>72</v>
      </c>
      <c r="B27" s="7" t="s">
        <v>26</v>
      </c>
      <c r="C27" s="6">
        <v>5355.25</v>
      </c>
      <c r="D27" s="6">
        <v>4285.22</v>
      </c>
      <c r="E27" s="67">
        <f t="shared" si="0"/>
        <v>9640.470000000001</v>
      </c>
      <c r="F27" s="37"/>
      <c r="G27" s="37"/>
    </row>
    <row r="28" spans="1:7" ht="15">
      <c r="A28" s="40" t="s">
        <v>73</v>
      </c>
      <c r="B28" s="7" t="s">
        <v>27</v>
      </c>
      <c r="C28" s="6">
        <v>1208.63</v>
      </c>
      <c r="D28" s="6">
        <v>966.86</v>
      </c>
      <c r="E28" s="67">
        <f t="shared" si="0"/>
        <v>2175.4900000000002</v>
      </c>
      <c r="F28" s="37"/>
      <c r="G28" s="37"/>
    </row>
    <row r="29" spans="1:7" ht="15">
      <c r="A29" s="40" t="s">
        <v>74</v>
      </c>
      <c r="B29" s="7" t="s">
        <v>28</v>
      </c>
      <c r="C29" s="6">
        <v>2150.81</v>
      </c>
      <c r="D29" s="6">
        <v>1720.59</v>
      </c>
      <c r="E29" s="67">
        <f t="shared" si="0"/>
        <v>3871.3999999999996</v>
      </c>
      <c r="F29" s="37"/>
      <c r="G29" s="37"/>
    </row>
    <row r="30" spans="1:8" ht="15">
      <c r="A30" s="40" t="s">
        <v>75</v>
      </c>
      <c r="B30" s="7" t="s">
        <v>29</v>
      </c>
      <c r="C30" s="6">
        <f>1800.15+1173.92+2511.4+3006.89</f>
        <v>8492.36</v>
      </c>
      <c r="D30" s="6">
        <f>1438.49+939.34+1983.55+2380.16</f>
        <v>6741.54</v>
      </c>
      <c r="E30" s="67">
        <f t="shared" si="0"/>
        <v>15233.900000000001</v>
      </c>
      <c r="F30" s="37"/>
      <c r="G30" s="37"/>
      <c r="H30" s="3"/>
    </row>
    <row r="31" spans="1:7" ht="15">
      <c r="A31" s="40" t="s">
        <v>76</v>
      </c>
      <c r="B31" s="7" t="s">
        <v>30</v>
      </c>
      <c r="C31" s="6">
        <v>164.81</v>
      </c>
      <c r="D31" s="6">
        <v>131.83</v>
      </c>
      <c r="E31" s="67">
        <f t="shared" si="0"/>
        <v>296.64</v>
      </c>
      <c r="F31" s="37"/>
      <c r="G31" s="37"/>
    </row>
    <row r="32" spans="1:7" ht="15">
      <c r="A32" s="40" t="s">
        <v>77</v>
      </c>
      <c r="B32" s="7" t="s">
        <v>31</v>
      </c>
      <c r="C32" s="6">
        <v>1781.1</v>
      </c>
      <c r="D32" s="6">
        <v>1424.68</v>
      </c>
      <c r="E32" s="67">
        <f t="shared" si="0"/>
        <v>3205.7799999999997</v>
      </c>
      <c r="F32" s="37"/>
      <c r="G32" s="37"/>
    </row>
    <row r="33" spans="1:7" ht="15">
      <c r="A33" s="40" t="s">
        <v>78</v>
      </c>
      <c r="B33" s="7" t="s">
        <v>32</v>
      </c>
      <c r="C33" s="6">
        <v>2207.95</v>
      </c>
      <c r="D33" s="6">
        <v>1766.52</v>
      </c>
      <c r="E33" s="67">
        <f t="shared" si="0"/>
        <v>3974.47</v>
      </c>
      <c r="F33" s="37"/>
      <c r="G33" s="37"/>
    </row>
    <row r="34" spans="1:7" ht="15">
      <c r="A34" s="40" t="s">
        <v>79</v>
      </c>
      <c r="B34" s="7" t="s">
        <v>33</v>
      </c>
      <c r="C34" s="6">
        <f>1606.19+1852.85+1306.77</f>
        <v>4765.8099999999995</v>
      </c>
      <c r="D34" s="6">
        <f>1284.89+1482.22+1045.39</f>
        <v>3812.5</v>
      </c>
      <c r="E34" s="67">
        <f t="shared" si="0"/>
        <v>8578.31</v>
      </c>
      <c r="F34" s="37"/>
      <c r="G34" s="37"/>
    </row>
    <row r="35" spans="1:7" ht="15">
      <c r="A35" s="40" t="s">
        <v>81</v>
      </c>
      <c r="B35" s="7" t="s">
        <v>34</v>
      </c>
      <c r="C35" s="6">
        <v>7217.35</v>
      </c>
      <c r="D35" s="6">
        <v>5773.88</v>
      </c>
      <c r="E35" s="67">
        <f t="shared" si="0"/>
        <v>12991.23</v>
      </c>
      <c r="F35" s="37"/>
      <c r="G35" s="37"/>
    </row>
    <row r="36" spans="1:7" ht="15">
      <c r="A36" s="40" t="s">
        <v>82</v>
      </c>
      <c r="B36" s="7" t="s">
        <v>35</v>
      </c>
      <c r="C36" s="6">
        <v>1779.12</v>
      </c>
      <c r="D36" s="6">
        <v>1423.36</v>
      </c>
      <c r="E36" s="67">
        <f t="shared" si="0"/>
        <v>3202.4799999999996</v>
      </c>
      <c r="F36" s="37"/>
      <c r="G36" s="37"/>
    </row>
    <row r="37" spans="1:7" ht="15">
      <c r="A37" s="40" t="s">
        <v>83</v>
      </c>
      <c r="B37" s="7" t="s">
        <v>88</v>
      </c>
      <c r="C37" s="6">
        <v>782.08</v>
      </c>
      <c r="D37" s="6">
        <v>625.6</v>
      </c>
      <c r="E37" s="67">
        <f t="shared" si="0"/>
        <v>1407.68</v>
      </c>
      <c r="F37" s="37"/>
      <c r="G37" s="37"/>
    </row>
    <row r="38" spans="1:7" ht="15">
      <c r="A38" s="40" t="s">
        <v>84</v>
      </c>
      <c r="B38" s="7" t="s">
        <v>91</v>
      </c>
      <c r="C38" s="6">
        <f>2830.44+114.04+785.15</f>
        <v>3729.63</v>
      </c>
      <c r="D38" s="6">
        <f>2264.3+91.22+628.03</f>
        <v>2983.55</v>
      </c>
      <c r="E38" s="67">
        <f t="shared" si="0"/>
        <v>6713.18</v>
      </c>
      <c r="F38" s="37"/>
      <c r="G38" s="37"/>
    </row>
    <row r="39" spans="1:7" ht="15">
      <c r="A39" s="40" t="s">
        <v>85</v>
      </c>
      <c r="B39" s="7" t="s">
        <v>92</v>
      </c>
      <c r="C39" s="6">
        <v>3625.73</v>
      </c>
      <c r="D39" s="6">
        <v>2900.29</v>
      </c>
      <c r="E39" s="67">
        <f t="shared" si="0"/>
        <v>6526.02</v>
      </c>
      <c r="F39" s="37"/>
      <c r="G39" s="37"/>
    </row>
    <row r="40" spans="1:7" ht="15">
      <c r="A40" s="40" t="s">
        <v>86</v>
      </c>
      <c r="B40" s="7" t="s">
        <v>94</v>
      </c>
      <c r="C40" s="6">
        <v>494.91</v>
      </c>
      <c r="D40" s="6">
        <v>395.96</v>
      </c>
      <c r="E40" s="67">
        <f t="shared" si="0"/>
        <v>890.87</v>
      </c>
      <c r="F40" s="37"/>
      <c r="G40" s="37"/>
    </row>
    <row r="41" spans="1:7" ht="15">
      <c r="A41" s="40" t="s">
        <v>87</v>
      </c>
      <c r="B41" s="7" t="s">
        <v>97</v>
      </c>
      <c r="C41" s="6">
        <v>1406.32</v>
      </c>
      <c r="D41" s="6">
        <v>1125.09</v>
      </c>
      <c r="E41" s="67">
        <f t="shared" si="0"/>
        <v>2531.41</v>
      </c>
      <c r="F41" s="37"/>
      <c r="G41" s="37"/>
    </row>
    <row r="42" spans="1:7" ht="15">
      <c r="A42" s="40" t="s">
        <v>93</v>
      </c>
      <c r="B42" s="7" t="s">
        <v>98</v>
      </c>
      <c r="C42" s="6">
        <v>440.87</v>
      </c>
      <c r="D42" s="6">
        <v>352.63</v>
      </c>
      <c r="E42" s="67">
        <f t="shared" si="0"/>
        <v>793.5</v>
      </c>
      <c r="F42" s="37"/>
      <c r="G42" s="37"/>
    </row>
    <row r="43" spans="1:7" ht="15.75" thickBot="1">
      <c r="A43" s="40" t="s">
        <v>95</v>
      </c>
      <c r="B43" s="7" t="s">
        <v>102</v>
      </c>
      <c r="C43" s="60">
        <v>1641.9</v>
      </c>
      <c r="D43" s="60">
        <v>1313.68</v>
      </c>
      <c r="E43" s="77">
        <f>C43+D43</f>
        <v>2955.58</v>
      </c>
      <c r="F43" s="37"/>
      <c r="G43" s="37"/>
    </row>
    <row r="44" spans="1:7" ht="15.75" thickBot="1">
      <c r="A44" s="61"/>
      <c r="B44" s="62" t="s">
        <v>36</v>
      </c>
      <c r="C44" s="63">
        <f>SUM(C7:C43)</f>
        <v>109171.28</v>
      </c>
      <c r="D44" s="63">
        <f>SUM(D7:D43)</f>
        <v>87285.53</v>
      </c>
      <c r="E44" s="78">
        <f t="shared" si="0"/>
        <v>196456.81</v>
      </c>
      <c r="F44" s="37"/>
      <c r="G44" s="37"/>
    </row>
    <row r="45" spans="1:7" ht="14.25">
      <c r="A45" s="37"/>
      <c r="B45" s="37"/>
      <c r="C45" s="1"/>
      <c r="D45" s="1"/>
      <c r="E45" s="41"/>
      <c r="F45" s="37"/>
      <c r="G45" s="37"/>
    </row>
    <row r="47" ht="12.75">
      <c r="D47" s="3"/>
    </row>
    <row r="48" ht="12.75">
      <c r="C48" s="3"/>
    </row>
    <row r="55" ht="12.75">
      <c r="C55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1"/>
  <sheetViews>
    <sheetView workbookViewId="0" topLeftCell="A10">
      <selection activeCell="C43" sqref="C43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</cols>
  <sheetData>
    <row r="3" spans="1:10" ht="15">
      <c r="A3" s="87" t="s">
        <v>119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4.25">
      <c r="A4" s="37"/>
      <c r="B4" s="37"/>
      <c r="C4" s="39"/>
      <c r="D4" s="1"/>
      <c r="E4" s="1"/>
      <c r="F4" s="1"/>
      <c r="G4" s="1"/>
      <c r="H4" s="1"/>
      <c r="I4" s="37"/>
      <c r="J4" s="37"/>
    </row>
    <row r="5" spans="1:10" ht="30">
      <c r="A5" s="50" t="s">
        <v>0</v>
      </c>
      <c r="B5" s="50" t="s">
        <v>1</v>
      </c>
      <c r="C5" s="52" t="s">
        <v>42</v>
      </c>
      <c r="D5" s="1"/>
      <c r="E5" s="1"/>
      <c r="F5" s="1"/>
      <c r="G5" s="1"/>
      <c r="H5" s="1"/>
      <c r="I5" s="37"/>
      <c r="J5" s="37"/>
    </row>
    <row r="6" spans="1:10" ht="15">
      <c r="A6" s="40" t="s">
        <v>80</v>
      </c>
      <c r="B6" s="7" t="s">
        <v>6</v>
      </c>
      <c r="C6" s="8">
        <v>18692.85</v>
      </c>
      <c r="D6" s="1"/>
      <c r="E6" s="1"/>
      <c r="F6" s="1"/>
      <c r="G6" s="1"/>
      <c r="H6" s="1"/>
      <c r="I6" s="37"/>
      <c r="J6" s="37"/>
    </row>
    <row r="7" spans="1:10" ht="15">
      <c r="A7" s="40" t="s">
        <v>53</v>
      </c>
      <c r="B7" s="7" t="s">
        <v>40</v>
      </c>
      <c r="C7" s="8">
        <v>12316.85</v>
      </c>
      <c r="D7" s="1"/>
      <c r="E7" s="1"/>
      <c r="F7" s="1"/>
      <c r="G7" s="1"/>
      <c r="H7" s="1"/>
      <c r="I7" s="37"/>
      <c r="J7" s="37"/>
    </row>
    <row r="8" spans="1:10" ht="15">
      <c r="A8" s="40" t="s">
        <v>54</v>
      </c>
      <c r="B8" s="7" t="s">
        <v>8</v>
      </c>
      <c r="C8" s="8">
        <v>5847.31</v>
      </c>
      <c r="D8" s="1"/>
      <c r="E8" s="1"/>
      <c r="F8" s="1"/>
      <c r="G8" s="1"/>
      <c r="H8" s="1"/>
      <c r="I8" s="37"/>
      <c r="J8" s="37"/>
    </row>
    <row r="9" spans="1:10" ht="15">
      <c r="A9" s="40" t="s">
        <v>55</v>
      </c>
      <c r="B9" s="7" t="s">
        <v>9</v>
      </c>
      <c r="C9" s="8">
        <v>4913.27</v>
      </c>
      <c r="D9" s="1"/>
      <c r="E9" s="1"/>
      <c r="F9" s="1"/>
      <c r="G9" s="1"/>
      <c r="H9" s="1"/>
      <c r="I9" s="37"/>
      <c r="J9" s="37"/>
    </row>
    <row r="10" spans="1:10" ht="15">
      <c r="A10" s="40" t="s">
        <v>56</v>
      </c>
      <c r="B10" s="7" t="s">
        <v>10</v>
      </c>
      <c r="C10" s="8">
        <v>1425.26</v>
      </c>
      <c r="D10" s="1"/>
      <c r="E10" s="1"/>
      <c r="F10" s="1"/>
      <c r="G10" s="1"/>
      <c r="H10" s="1"/>
      <c r="I10" s="37"/>
      <c r="J10" s="37"/>
    </row>
    <row r="11" spans="1:10" ht="15">
      <c r="A11" s="40" t="s">
        <v>57</v>
      </c>
      <c r="B11" s="7" t="s">
        <v>11</v>
      </c>
      <c r="C11" s="8">
        <v>8511.06</v>
      </c>
      <c r="D11" s="1"/>
      <c r="E11" s="1"/>
      <c r="F11" s="1"/>
      <c r="G11" s="1"/>
      <c r="H11" s="1"/>
      <c r="I11" s="37"/>
      <c r="J11" s="37"/>
    </row>
    <row r="12" spans="1:10" ht="15">
      <c r="A12" s="40" t="s">
        <v>58</v>
      </c>
      <c r="B12" s="7" t="s">
        <v>12</v>
      </c>
      <c r="C12" s="8">
        <v>3699.92</v>
      </c>
      <c r="D12" s="1"/>
      <c r="E12" s="1"/>
      <c r="F12" s="1"/>
      <c r="G12" s="1"/>
      <c r="H12" s="1"/>
      <c r="I12" s="37"/>
      <c r="J12" s="37"/>
    </row>
    <row r="13" spans="1:10" ht="15">
      <c r="A13" s="40" t="s">
        <v>59</v>
      </c>
      <c r="B13" s="7" t="s">
        <v>13</v>
      </c>
      <c r="C13" s="8">
        <v>15248</v>
      </c>
      <c r="D13" s="1"/>
      <c r="E13" s="1"/>
      <c r="F13" s="1"/>
      <c r="G13" s="1"/>
      <c r="H13" s="1"/>
      <c r="I13" s="37"/>
      <c r="J13" s="37"/>
    </row>
    <row r="14" spans="1:10" ht="15">
      <c r="A14" s="40" t="s">
        <v>60</v>
      </c>
      <c r="B14" s="7" t="s">
        <v>14</v>
      </c>
      <c r="C14" s="8">
        <v>16551.7</v>
      </c>
      <c r="D14" s="1"/>
      <c r="E14" s="1"/>
      <c r="F14" s="1"/>
      <c r="G14" s="1"/>
      <c r="H14" s="1"/>
      <c r="I14" s="37"/>
      <c r="J14" s="37"/>
    </row>
    <row r="15" spans="1:10" ht="15">
      <c r="A15" s="40" t="s">
        <v>61</v>
      </c>
      <c r="B15" s="7" t="s">
        <v>15</v>
      </c>
      <c r="C15" s="8">
        <v>20176.27</v>
      </c>
      <c r="D15" s="1"/>
      <c r="E15" s="1"/>
      <c r="F15" s="1"/>
      <c r="G15" s="1"/>
      <c r="H15" s="1"/>
      <c r="I15" s="37"/>
      <c r="J15" s="37"/>
    </row>
    <row r="16" spans="1:10" ht="15">
      <c r="A16" s="40" t="s">
        <v>62</v>
      </c>
      <c r="B16" s="7" t="s">
        <v>16</v>
      </c>
      <c r="C16" s="8">
        <v>7903.42</v>
      </c>
      <c r="D16" s="1"/>
      <c r="E16" s="1"/>
      <c r="F16" s="1"/>
      <c r="G16" s="1"/>
      <c r="H16" s="1"/>
      <c r="I16" s="37"/>
      <c r="J16" s="37"/>
    </row>
    <row r="17" spans="1:10" ht="15">
      <c r="A17" s="40" t="s">
        <v>63</v>
      </c>
      <c r="B17" s="7" t="s">
        <v>41</v>
      </c>
      <c r="C17" s="8">
        <v>23368.78</v>
      </c>
      <c r="D17" s="1"/>
      <c r="E17" s="1"/>
      <c r="F17" s="1"/>
      <c r="G17" s="1"/>
      <c r="H17" s="1"/>
      <c r="I17" s="37"/>
      <c r="J17" s="37"/>
    </row>
    <row r="18" spans="1:10" ht="15">
      <c r="A18" s="40" t="s">
        <v>64</v>
      </c>
      <c r="B18" s="7" t="s">
        <v>18</v>
      </c>
      <c r="C18" s="8">
        <v>5382.16</v>
      </c>
      <c r="D18" s="1"/>
      <c r="E18" s="1"/>
      <c r="F18" s="1"/>
      <c r="G18" s="1"/>
      <c r="H18" s="1"/>
      <c r="I18" s="37"/>
      <c r="J18" s="37"/>
    </row>
    <row r="19" spans="1:10" ht="15">
      <c r="A19" s="40" t="s">
        <v>65</v>
      </c>
      <c r="B19" s="7" t="s">
        <v>19</v>
      </c>
      <c r="C19" s="8">
        <v>4788.58</v>
      </c>
      <c r="D19" s="1"/>
      <c r="E19" s="1"/>
      <c r="F19" s="1"/>
      <c r="G19" s="1"/>
      <c r="H19" s="1"/>
      <c r="I19" s="37"/>
      <c r="J19" s="37"/>
    </row>
    <row r="20" spans="1:10" ht="15">
      <c r="A20" s="40" t="s">
        <v>66</v>
      </c>
      <c r="B20" s="7" t="s">
        <v>20</v>
      </c>
      <c r="C20" s="8">
        <v>10016.79</v>
      </c>
      <c r="D20" s="1"/>
      <c r="E20" s="1"/>
      <c r="F20" s="1"/>
      <c r="G20" s="1"/>
      <c r="H20" s="1"/>
      <c r="I20" s="37"/>
      <c r="J20" s="37"/>
    </row>
    <row r="21" spans="1:10" ht="15">
      <c r="A21" s="40" t="s">
        <v>67</v>
      </c>
      <c r="B21" s="7" t="s">
        <v>21</v>
      </c>
      <c r="C21" s="8">
        <v>1830.25</v>
      </c>
      <c r="D21" s="1"/>
      <c r="E21" s="1"/>
      <c r="F21" s="1"/>
      <c r="G21" s="1"/>
      <c r="H21" s="1"/>
      <c r="I21" s="37"/>
      <c r="J21" s="37"/>
    </row>
    <row r="22" spans="1:10" ht="15">
      <c r="A22" s="40" t="s">
        <v>68</v>
      </c>
      <c r="B22" s="7" t="s">
        <v>22</v>
      </c>
      <c r="C22" s="8">
        <v>2501.39</v>
      </c>
      <c r="D22" s="1"/>
      <c r="E22" s="1"/>
      <c r="F22" s="1"/>
      <c r="G22" s="1"/>
      <c r="H22" s="1"/>
      <c r="I22" s="37"/>
      <c r="J22" s="37"/>
    </row>
    <row r="23" spans="1:10" ht="15">
      <c r="A23" s="40" t="s">
        <v>69</v>
      </c>
      <c r="B23" s="7" t="s">
        <v>23</v>
      </c>
      <c r="C23" s="8">
        <v>1045.37</v>
      </c>
      <c r="D23" s="1"/>
      <c r="E23" s="1"/>
      <c r="F23" s="1"/>
      <c r="G23" s="1"/>
      <c r="H23" s="1"/>
      <c r="I23" s="37"/>
      <c r="J23" s="37"/>
    </row>
    <row r="24" spans="1:10" ht="15">
      <c r="A24" s="40" t="s">
        <v>70</v>
      </c>
      <c r="B24" s="7" t="s">
        <v>24</v>
      </c>
      <c r="C24" s="8">
        <v>2319.08</v>
      </c>
      <c r="D24" s="1"/>
      <c r="E24" s="1"/>
      <c r="F24" s="1"/>
      <c r="G24" s="1"/>
      <c r="H24" s="1"/>
      <c r="I24" s="37"/>
      <c r="J24" s="37"/>
    </row>
    <row r="25" spans="1:10" ht="15">
      <c r="A25" s="40" t="s">
        <v>71</v>
      </c>
      <c r="B25" s="7" t="s">
        <v>25</v>
      </c>
      <c r="C25" s="8">
        <v>4447.2</v>
      </c>
      <c r="D25" s="1"/>
      <c r="E25" s="1"/>
      <c r="F25" s="1"/>
      <c r="G25" s="1"/>
      <c r="H25" s="1"/>
      <c r="I25" s="37"/>
      <c r="J25" s="37"/>
    </row>
    <row r="26" spans="1:10" ht="15">
      <c r="A26" s="40" t="s">
        <v>72</v>
      </c>
      <c r="B26" s="7" t="s">
        <v>26</v>
      </c>
      <c r="C26" s="8">
        <v>7324.27</v>
      </c>
      <c r="D26" s="1"/>
      <c r="E26" s="1"/>
      <c r="F26" s="1"/>
      <c r="G26" s="1"/>
      <c r="H26" s="1"/>
      <c r="I26" s="37"/>
      <c r="J26" s="37"/>
    </row>
    <row r="27" spans="1:10" ht="15">
      <c r="A27" s="40" t="s">
        <v>73</v>
      </c>
      <c r="B27" s="7" t="s">
        <v>27</v>
      </c>
      <c r="C27" s="8">
        <v>2294.43</v>
      </c>
      <c r="D27" s="1"/>
      <c r="E27" s="1"/>
      <c r="F27" s="1"/>
      <c r="G27" s="1"/>
      <c r="H27" s="1"/>
      <c r="I27" s="37"/>
      <c r="J27" s="37"/>
    </row>
    <row r="28" spans="1:10" ht="15">
      <c r="A28" s="40" t="s">
        <v>74</v>
      </c>
      <c r="B28" s="7" t="s">
        <v>28</v>
      </c>
      <c r="C28" s="8">
        <v>1888.65</v>
      </c>
      <c r="D28" s="1"/>
      <c r="E28" s="1"/>
      <c r="F28" s="1"/>
      <c r="G28" s="1"/>
      <c r="H28" s="1"/>
      <c r="I28" s="37"/>
      <c r="J28" s="37"/>
    </row>
    <row r="29" spans="1:10" ht="15">
      <c r="A29" s="40" t="s">
        <v>75</v>
      </c>
      <c r="B29" s="7" t="s">
        <v>29</v>
      </c>
      <c r="C29" s="8">
        <v>26616.66</v>
      </c>
      <c r="D29" s="1"/>
      <c r="E29" s="1"/>
      <c r="F29" s="1"/>
      <c r="G29" s="1"/>
      <c r="H29" s="1"/>
      <c r="I29" s="37"/>
      <c r="J29" s="37"/>
    </row>
    <row r="30" spans="1:10" ht="15">
      <c r="A30" s="40" t="s">
        <v>76</v>
      </c>
      <c r="B30" s="7" t="s">
        <v>30</v>
      </c>
      <c r="C30" s="8">
        <v>8132.04</v>
      </c>
      <c r="D30" s="1"/>
      <c r="E30" s="1"/>
      <c r="F30" s="1"/>
      <c r="G30" s="1"/>
      <c r="H30" s="1"/>
      <c r="I30" s="37"/>
      <c r="J30" s="37"/>
    </row>
    <row r="31" spans="1:10" ht="15">
      <c r="A31" s="40" t="s">
        <v>77</v>
      </c>
      <c r="B31" s="7" t="s">
        <v>31</v>
      </c>
      <c r="C31" s="8">
        <v>7555.34</v>
      </c>
      <c r="D31" s="1"/>
      <c r="E31" s="1"/>
      <c r="F31" s="1"/>
      <c r="G31" s="1"/>
      <c r="H31" s="1"/>
      <c r="I31" s="37"/>
      <c r="J31" s="37"/>
    </row>
    <row r="32" spans="1:10" ht="15">
      <c r="A32" s="40" t="s">
        <v>78</v>
      </c>
      <c r="B32" s="7" t="s">
        <v>32</v>
      </c>
      <c r="C32" s="8">
        <v>3204.92</v>
      </c>
      <c r="D32" s="1"/>
      <c r="E32" s="1"/>
      <c r="F32" s="1"/>
      <c r="G32" s="1"/>
      <c r="H32" s="1"/>
      <c r="I32" s="37"/>
      <c r="J32" s="37"/>
    </row>
    <row r="33" spans="1:10" ht="15">
      <c r="A33" s="40" t="s">
        <v>79</v>
      </c>
      <c r="B33" s="7" t="s">
        <v>33</v>
      </c>
      <c r="C33" s="8">
        <v>16435.69</v>
      </c>
      <c r="D33" s="1"/>
      <c r="E33" s="1"/>
      <c r="F33" s="1"/>
      <c r="G33" s="1"/>
      <c r="H33" s="1"/>
      <c r="I33" s="37"/>
      <c r="J33" s="37"/>
    </row>
    <row r="34" spans="1:10" ht="15">
      <c r="A34" s="40" t="s">
        <v>81</v>
      </c>
      <c r="B34" s="7" t="s">
        <v>34</v>
      </c>
      <c r="C34" s="8">
        <v>7439.12</v>
      </c>
      <c r="D34" s="1"/>
      <c r="E34" s="1"/>
      <c r="F34" s="1"/>
      <c r="G34" s="1"/>
      <c r="H34" s="1"/>
      <c r="I34" s="37"/>
      <c r="J34" s="37"/>
    </row>
    <row r="35" spans="1:10" ht="15">
      <c r="A35" s="40" t="s">
        <v>82</v>
      </c>
      <c r="B35" s="7" t="s">
        <v>35</v>
      </c>
      <c r="C35" s="8">
        <v>1103.96</v>
      </c>
      <c r="D35" s="1"/>
      <c r="E35" s="1"/>
      <c r="F35" s="1"/>
      <c r="G35" s="1"/>
      <c r="H35" s="1"/>
      <c r="I35" s="37"/>
      <c r="J35" s="37"/>
    </row>
    <row r="36" spans="1:10" ht="15">
      <c r="A36" s="40" t="s">
        <v>83</v>
      </c>
      <c r="B36" s="7" t="s">
        <v>88</v>
      </c>
      <c r="C36" s="8">
        <v>1343.53</v>
      </c>
      <c r="D36" s="1"/>
      <c r="E36" s="1"/>
      <c r="F36" s="1"/>
      <c r="G36" s="1"/>
      <c r="H36" s="1"/>
      <c r="I36" s="37"/>
      <c r="J36" s="37"/>
    </row>
    <row r="37" spans="1:10" ht="15">
      <c r="A37" s="40" t="s">
        <v>84</v>
      </c>
      <c r="B37" s="7" t="s">
        <v>91</v>
      </c>
      <c r="C37" s="8">
        <v>4683.18</v>
      </c>
      <c r="D37" s="1"/>
      <c r="E37" s="1"/>
      <c r="F37" s="1"/>
      <c r="G37" s="1"/>
      <c r="H37" s="1"/>
      <c r="I37" s="37"/>
      <c r="J37" s="37"/>
    </row>
    <row r="38" spans="1:10" ht="15">
      <c r="A38" s="40" t="s">
        <v>85</v>
      </c>
      <c r="B38" s="7" t="s">
        <v>92</v>
      </c>
      <c r="C38" s="8">
        <v>16831.9</v>
      </c>
      <c r="D38" s="1"/>
      <c r="E38" s="1"/>
      <c r="F38" s="1"/>
      <c r="G38" s="1"/>
      <c r="H38" s="1"/>
      <c r="I38" s="37"/>
      <c r="J38" s="37"/>
    </row>
    <row r="39" spans="1:10" ht="15">
      <c r="A39" s="40" t="s">
        <v>86</v>
      </c>
      <c r="B39" s="7" t="s">
        <v>94</v>
      </c>
      <c r="C39" s="8">
        <v>522.83</v>
      </c>
      <c r="D39" s="1"/>
      <c r="E39" s="1"/>
      <c r="F39" s="1"/>
      <c r="G39" s="1"/>
      <c r="H39" s="1"/>
      <c r="I39" s="37"/>
      <c r="J39" s="37"/>
    </row>
    <row r="40" spans="1:10" ht="15">
      <c r="A40" s="40" t="s">
        <v>87</v>
      </c>
      <c r="B40" s="7" t="s">
        <v>97</v>
      </c>
      <c r="C40" s="8">
        <v>1073.51</v>
      </c>
      <c r="D40" s="1"/>
      <c r="E40" s="1"/>
      <c r="F40" s="1"/>
      <c r="G40" s="1"/>
      <c r="H40" s="1"/>
      <c r="I40" s="37"/>
      <c r="J40" s="37"/>
    </row>
    <row r="41" spans="1:10" ht="15">
      <c r="A41" s="40" t="s">
        <v>93</v>
      </c>
      <c r="B41" s="7" t="s">
        <v>98</v>
      </c>
      <c r="C41" s="8">
        <v>926.17</v>
      </c>
      <c r="D41" s="1"/>
      <c r="E41" s="1"/>
      <c r="F41" s="1"/>
      <c r="G41" s="1"/>
      <c r="H41" s="1"/>
      <c r="I41" s="37"/>
      <c r="J41" s="37"/>
    </row>
    <row r="42" spans="1:10" ht="15">
      <c r="A42" s="40" t="s">
        <v>95</v>
      </c>
      <c r="B42" s="7" t="s">
        <v>102</v>
      </c>
      <c r="C42" s="8">
        <v>2243.69</v>
      </c>
      <c r="D42" s="1"/>
      <c r="E42" s="1"/>
      <c r="F42" s="1"/>
      <c r="G42" s="1"/>
      <c r="H42" s="1"/>
      <c r="I42" s="37"/>
      <c r="J42" s="37"/>
    </row>
    <row r="43" spans="1:10" ht="15">
      <c r="A43" s="53"/>
      <c r="B43" s="7" t="s">
        <v>36</v>
      </c>
      <c r="C43" s="8">
        <f>SUM(C6:C42)</f>
        <v>280605.4</v>
      </c>
      <c r="D43" s="1"/>
      <c r="E43" s="1"/>
      <c r="F43" s="1"/>
      <c r="G43" s="1"/>
      <c r="H43" s="1"/>
      <c r="I43" s="37"/>
      <c r="J43" s="37"/>
    </row>
    <row r="44" spans="1:7" ht="14.25">
      <c r="A44" s="37"/>
      <c r="B44" s="37"/>
      <c r="C44" s="39"/>
      <c r="D44" s="1"/>
      <c r="E44" s="1"/>
      <c r="F44" s="37"/>
      <c r="G44" s="37"/>
    </row>
    <row r="45" spans="1:7" ht="14.25">
      <c r="A45" s="37"/>
      <c r="B45" s="37"/>
      <c r="C45" s="39"/>
      <c r="D45" s="1"/>
      <c r="E45" s="37"/>
      <c r="F45" s="37"/>
      <c r="G45" s="37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J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8"/>
  <sheetViews>
    <sheetView workbookViewId="0" topLeftCell="A13">
      <selection activeCell="C44" sqref="C44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88" t="s">
        <v>120</v>
      </c>
      <c r="B4" s="88"/>
      <c r="C4" s="88"/>
      <c r="D4" s="88"/>
      <c r="E4" s="88"/>
      <c r="F4" s="88"/>
      <c r="G4" s="88"/>
      <c r="H4" s="88"/>
    </row>
    <row r="5" spans="1:8" ht="14.25">
      <c r="A5" s="37"/>
      <c r="B5" s="37"/>
      <c r="C5" s="37"/>
      <c r="D5" s="42"/>
      <c r="E5" s="37"/>
      <c r="F5" s="37"/>
      <c r="G5" s="37"/>
      <c r="H5" s="37"/>
    </row>
    <row r="6" spans="1:8" ht="30">
      <c r="A6" s="50" t="s">
        <v>0</v>
      </c>
      <c r="B6" s="50" t="s">
        <v>1</v>
      </c>
      <c r="C6" s="51" t="s">
        <v>43</v>
      </c>
      <c r="D6" s="42"/>
      <c r="E6" s="37"/>
      <c r="F6" s="37"/>
      <c r="G6" s="37"/>
      <c r="H6" s="37"/>
    </row>
    <row r="7" spans="1:8" ht="15">
      <c r="A7" s="40" t="s">
        <v>80</v>
      </c>
      <c r="B7" s="7" t="s">
        <v>6</v>
      </c>
      <c r="C7" s="7">
        <v>12722.72</v>
      </c>
      <c r="D7" s="42"/>
      <c r="E7" s="37"/>
      <c r="F7" s="37"/>
      <c r="G7" s="37"/>
      <c r="H7" s="37"/>
    </row>
    <row r="8" spans="1:8" ht="15">
      <c r="A8" s="40" t="s">
        <v>53</v>
      </c>
      <c r="B8" s="7" t="s">
        <v>40</v>
      </c>
      <c r="C8" s="7">
        <v>701.04</v>
      </c>
      <c r="D8" s="42"/>
      <c r="E8" s="37"/>
      <c r="F8" s="37"/>
      <c r="G8" s="37"/>
      <c r="H8" s="37"/>
    </row>
    <row r="9" spans="1:8" ht="15">
      <c r="A9" s="40" t="s">
        <v>54</v>
      </c>
      <c r="B9" s="7" t="s">
        <v>8</v>
      </c>
      <c r="C9" s="7"/>
      <c r="D9" s="42"/>
      <c r="E9" s="37"/>
      <c r="F9" s="37"/>
      <c r="G9" s="37"/>
      <c r="H9" s="37"/>
    </row>
    <row r="10" spans="1:8" ht="15">
      <c r="A10" s="40" t="s">
        <v>55</v>
      </c>
      <c r="B10" s="7" t="s">
        <v>9</v>
      </c>
      <c r="C10" s="7">
        <v>1408.6</v>
      </c>
      <c r="D10" s="42"/>
      <c r="E10" s="37"/>
      <c r="F10" s="37"/>
      <c r="G10" s="37"/>
      <c r="H10" s="37"/>
    </row>
    <row r="11" spans="1:8" ht="15">
      <c r="A11" s="40" t="s">
        <v>56</v>
      </c>
      <c r="B11" s="7" t="s">
        <v>10</v>
      </c>
      <c r="C11" s="7"/>
      <c r="D11" s="42"/>
      <c r="E11" s="37"/>
      <c r="F11" s="37"/>
      <c r="G11" s="37"/>
      <c r="H11" s="37"/>
    </row>
    <row r="12" spans="1:8" ht="15">
      <c r="A12" s="40" t="s">
        <v>57</v>
      </c>
      <c r="B12" s="7" t="s">
        <v>11</v>
      </c>
      <c r="C12" s="7">
        <v>2020.25</v>
      </c>
      <c r="D12" s="42"/>
      <c r="E12" s="37"/>
      <c r="F12" s="37"/>
      <c r="G12" s="37"/>
      <c r="H12" s="37"/>
    </row>
    <row r="13" spans="1:8" ht="15">
      <c r="A13" s="40" t="s">
        <v>58</v>
      </c>
      <c r="B13" s="7" t="s">
        <v>12</v>
      </c>
      <c r="C13" s="7">
        <v>488.34</v>
      </c>
      <c r="D13" s="42"/>
      <c r="E13" s="37"/>
      <c r="F13" s="37"/>
      <c r="G13" s="37"/>
      <c r="H13" s="37"/>
    </row>
    <row r="14" spans="1:8" ht="15">
      <c r="A14" s="40" t="s">
        <v>59</v>
      </c>
      <c r="B14" s="7" t="s">
        <v>13</v>
      </c>
      <c r="C14" s="7">
        <v>8086.06</v>
      </c>
      <c r="D14" s="42"/>
      <c r="E14" s="37"/>
      <c r="F14" s="37"/>
      <c r="G14" s="37"/>
      <c r="H14" s="37"/>
    </row>
    <row r="15" spans="1:8" ht="15">
      <c r="A15" s="40" t="s">
        <v>60</v>
      </c>
      <c r="B15" s="7" t="s">
        <v>14</v>
      </c>
      <c r="C15" s="7">
        <v>468.89</v>
      </c>
      <c r="D15" s="42"/>
      <c r="E15" s="37"/>
      <c r="F15" s="37"/>
      <c r="G15" s="37"/>
      <c r="H15" s="37"/>
    </row>
    <row r="16" spans="1:8" ht="15">
      <c r="A16" s="40" t="s">
        <v>61</v>
      </c>
      <c r="B16" s="7" t="s">
        <v>15</v>
      </c>
      <c r="C16" s="7">
        <v>14246.23</v>
      </c>
      <c r="D16" s="42"/>
      <c r="E16" s="37"/>
      <c r="F16" s="37"/>
      <c r="G16" s="37"/>
      <c r="H16" s="37"/>
    </row>
    <row r="17" spans="1:8" ht="15">
      <c r="A17" s="40" t="s">
        <v>62</v>
      </c>
      <c r="B17" s="7" t="s">
        <v>16</v>
      </c>
      <c r="C17" s="7">
        <v>2875.27</v>
      </c>
      <c r="D17" s="42"/>
      <c r="E17" s="37"/>
      <c r="F17" s="37"/>
      <c r="G17" s="37"/>
      <c r="H17" s="37"/>
    </row>
    <row r="18" spans="1:8" ht="15">
      <c r="A18" s="40" t="s">
        <v>63</v>
      </c>
      <c r="B18" s="7" t="s">
        <v>41</v>
      </c>
      <c r="C18" s="7">
        <v>4993.84</v>
      </c>
      <c r="D18" s="42"/>
      <c r="E18" s="37"/>
      <c r="F18" s="37"/>
      <c r="G18" s="37"/>
      <c r="H18" s="37"/>
    </row>
    <row r="19" spans="1:8" ht="15">
      <c r="A19" s="40" t="s">
        <v>64</v>
      </c>
      <c r="B19" s="7" t="s">
        <v>18</v>
      </c>
      <c r="C19" s="7">
        <v>671.93</v>
      </c>
      <c r="D19" s="42"/>
      <c r="E19" s="37"/>
      <c r="F19" s="37"/>
      <c r="G19" s="37"/>
      <c r="H19" s="37"/>
    </row>
    <row r="20" spans="1:8" ht="15">
      <c r="A20" s="40" t="s">
        <v>65</v>
      </c>
      <c r="B20" s="7" t="s">
        <v>19</v>
      </c>
      <c r="C20" s="7">
        <v>2199.29</v>
      </c>
      <c r="D20" s="42"/>
      <c r="E20" s="37"/>
      <c r="F20" s="37"/>
      <c r="G20" s="37"/>
      <c r="H20" s="37"/>
    </row>
    <row r="21" spans="1:8" ht="15">
      <c r="A21" s="40" t="s">
        <v>66</v>
      </c>
      <c r="B21" s="7" t="s">
        <v>20</v>
      </c>
      <c r="C21" s="7">
        <v>10908.17</v>
      </c>
      <c r="D21" s="42"/>
      <c r="E21" s="37"/>
      <c r="F21" s="37"/>
      <c r="G21" s="37"/>
      <c r="H21" s="37"/>
    </row>
    <row r="22" spans="1:8" ht="15">
      <c r="A22" s="40" t="s">
        <v>67</v>
      </c>
      <c r="B22" s="7" t="s">
        <v>21</v>
      </c>
      <c r="C22" s="7"/>
      <c r="D22" s="42"/>
      <c r="E22" s="37"/>
      <c r="F22" s="37"/>
      <c r="G22" s="37"/>
      <c r="H22" s="37"/>
    </row>
    <row r="23" spans="1:8" ht="15">
      <c r="A23" s="40" t="s">
        <v>68</v>
      </c>
      <c r="B23" s="7" t="s">
        <v>22</v>
      </c>
      <c r="C23" s="7"/>
      <c r="D23" s="42"/>
      <c r="E23" s="37"/>
      <c r="F23" s="37"/>
      <c r="G23" s="37"/>
      <c r="H23" s="37"/>
    </row>
    <row r="24" spans="1:8" ht="15">
      <c r="A24" s="40" t="s">
        <v>69</v>
      </c>
      <c r="B24" s="7" t="s">
        <v>23</v>
      </c>
      <c r="C24" s="7"/>
      <c r="D24" s="42"/>
      <c r="E24" s="37"/>
      <c r="F24" s="37"/>
      <c r="G24" s="37"/>
      <c r="H24" s="37"/>
    </row>
    <row r="25" spans="1:8" ht="15">
      <c r="A25" s="40" t="s">
        <v>70</v>
      </c>
      <c r="B25" s="7" t="s">
        <v>24</v>
      </c>
      <c r="C25" s="7"/>
      <c r="D25" s="42"/>
      <c r="E25" s="37"/>
      <c r="F25" s="37"/>
      <c r="G25" s="37"/>
      <c r="H25" s="37"/>
    </row>
    <row r="26" spans="1:8" ht="15">
      <c r="A26" s="40" t="s">
        <v>71</v>
      </c>
      <c r="B26" s="7" t="s">
        <v>25</v>
      </c>
      <c r="C26" s="7">
        <v>5661.14</v>
      </c>
      <c r="D26" s="42"/>
      <c r="E26" s="37"/>
      <c r="F26" s="37"/>
      <c r="G26" s="37"/>
      <c r="H26" s="37"/>
    </row>
    <row r="27" spans="1:8" ht="15">
      <c r="A27" s="40" t="s">
        <v>72</v>
      </c>
      <c r="B27" s="7" t="s">
        <v>26</v>
      </c>
      <c r="C27" s="7"/>
      <c r="D27" s="42"/>
      <c r="E27" s="37"/>
      <c r="F27" s="37"/>
      <c r="G27" s="37"/>
      <c r="H27" s="37"/>
    </row>
    <row r="28" spans="1:8" ht="15">
      <c r="A28" s="40" t="s">
        <v>73</v>
      </c>
      <c r="B28" s="7" t="s">
        <v>27</v>
      </c>
      <c r="C28" s="7"/>
      <c r="D28" s="42"/>
      <c r="E28" s="37"/>
      <c r="F28" s="37"/>
      <c r="G28" s="37"/>
      <c r="H28" s="37"/>
    </row>
    <row r="29" spans="1:8" ht="15">
      <c r="A29" s="40" t="s">
        <v>74</v>
      </c>
      <c r="B29" s="7" t="s">
        <v>28</v>
      </c>
      <c r="C29" s="7"/>
      <c r="D29" s="42"/>
      <c r="E29" s="37"/>
      <c r="F29" s="37"/>
      <c r="G29" s="37"/>
      <c r="H29" s="37"/>
    </row>
    <row r="30" spans="1:8" ht="15">
      <c r="A30" s="40" t="s">
        <v>75</v>
      </c>
      <c r="B30" s="7" t="s">
        <v>29</v>
      </c>
      <c r="C30" s="7">
        <v>5516.02</v>
      </c>
      <c r="D30" s="42"/>
      <c r="E30" s="37"/>
      <c r="F30" s="37"/>
      <c r="G30" s="37"/>
      <c r="H30" s="37"/>
    </row>
    <row r="31" spans="1:8" ht="15">
      <c r="A31" s="40" t="s">
        <v>76</v>
      </c>
      <c r="B31" s="7" t="s">
        <v>30</v>
      </c>
      <c r="C31" s="7">
        <v>2176.75</v>
      </c>
      <c r="D31" s="42"/>
      <c r="E31" s="37"/>
      <c r="F31" s="37"/>
      <c r="G31" s="37"/>
      <c r="H31" s="37"/>
    </row>
    <row r="32" spans="1:8" ht="15">
      <c r="A32" s="40" t="s">
        <v>77</v>
      </c>
      <c r="B32" s="7" t="s">
        <v>31</v>
      </c>
      <c r="C32" s="7">
        <v>728.61</v>
      </c>
      <c r="D32" s="42"/>
      <c r="E32" s="37"/>
      <c r="F32" s="37"/>
      <c r="G32" s="37"/>
      <c r="H32" s="37"/>
    </row>
    <row r="33" spans="1:8" ht="15">
      <c r="A33" s="40" t="s">
        <v>78</v>
      </c>
      <c r="B33" s="7" t="s">
        <v>32</v>
      </c>
      <c r="C33" s="7"/>
      <c r="D33" s="42"/>
      <c r="E33" s="37"/>
      <c r="F33" s="37"/>
      <c r="G33" s="37"/>
      <c r="H33" s="37"/>
    </row>
    <row r="34" spans="1:8" ht="15">
      <c r="A34" s="40" t="s">
        <v>79</v>
      </c>
      <c r="B34" s="7" t="s">
        <v>33</v>
      </c>
      <c r="C34" s="7">
        <v>2961.94</v>
      </c>
      <c r="D34" s="42"/>
      <c r="E34" s="37"/>
      <c r="F34" s="37"/>
      <c r="G34" s="37"/>
      <c r="H34" s="37"/>
    </row>
    <row r="35" spans="1:8" ht="15">
      <c r="A35" s="40" t="s">
        <v>81</v>
      </c>
      <c r="B35" s="7" t="s">
        <v>34</v>
      </c>
      <c r="C35" s="7"/>
      <c r="D35" s="42"/>
      <c r="E35" s="37"/>
      <c r="F35" s="37"/>
      <c r="G35" s="37"/>
      <c r="H35" s="37"/>
    </row>
    <row r="36" spans="1:8" ht="15">
      <c r="A36" s="40" t="s">
        <v>82</v>
      </c>
      <c r="B36" s="7" t="s">
        <v>35</v>
      </c>
      <c r="C36" s="7"/>
      <c r="D36" s="42"/>
      <c r="E36" s="37"/>
      <c r="F36" s="37"/>
      <c r="G36" s="37"/>
      <c r="H36" s="37"/>
    </row>
    <row r="37" spans="1:8" ht="15">
      <c r="A37" s="40" t="s">
        <v>83</v>
      </c>
      <c r="B37" s="7" t="s">
        <v>88</v>
      </c>
      <c r="C37" s="7"/>
      <c r="D37" s="42"/>
      <c r="E37" s="37"/>
      <c r="F37" s="37"/>
      <c r="G37" s="37"/>
      <c r="H37" s="37"/>
    </row>
    <row r="38" spans="1:8" ht="15">
      <c r="A38" s="40" t="s">
        <v>84</v>
      </c>
      <c r="B38" s="7" t="s">
        <v>91</v>
      </c>
      <c r="C38" s="7">
        <v>2759.65</v>
      </c>
      <c r="D38" s="42"/>
      <c r="E38" s="37"/>
      <c r="F38" s="37"/>
      <c r="G38" s="37"/>
      <c r="H38" s="37"/>
    </row>
    <row r="39" spans="1:8" ht="15">
      <c r="A39" s="40" t="s">
        <v>85</v>
      </c>
      <c r="B39" s="7" t="s">
        <v>92</v>
      </c>
      <c r="C39" s="7"/>
      <c r="D39" s="42"/>
      <c r="E39" s="37"/>
      <c r="F39" s="37"/>
      <c r="G39" s="37"/>
      <c r="H39" s="37"/>
    </row>
    <row r="40" spans="1:8" ht="15">
      <c r="A40" s="40" t="s">
        <v>86</v>
      </c>
      <c r="B40" s="7" t="s">
        <v>94</v>
      </c>
      <c r="C40" s="7"/>
      <c r="D40" s="42"/>
      <c r="E40" s="37"/>
      <c r="F40" s="37"/>
      <c r="G40" s="37"/>
      <c r="H40" s="37"/>
    </row>
    <row r="41" spans="1:8" ht="15">
      <c r="A41" s="40" t="s">
        <v>87</v>
      </c>
      <c r="B41" s="7" t="s">
        <v>97</v>
      </c>
      <c r="C41" s="7"/>
      <c r="D41" s="42"/>
      <c r="E41" s="37"/>
      <c r="F41" s="37"/>
      <c r="G41" s="37"/>
      <c r="H41" s="37"/>
    </row>
    <row r="42" spans="1:8" ht="15">
      <c r="A42" s="40" t="s">
        <v>93</v>
      </c>
      <c r="B42" s="7" t="s">
        <v>98</v>
      </c>
      <c r="C42" s="7"/>
      <c r="D42" s="42"/>
      <c r="E42" s="37"/>
      <c r="F42" s="37"/>
      <c r="G42" s="37"/>
      <c r="H42" s="37"/>
    </row>
    <row r="43" spans="1:8" ht="15">
      <c r="A43" s="40" t="s">
        <v>95</v>
      </c>
      <c r="B43" s="7" t="s">
        <v>102</v>
      </c>
      <c r="C43" s="7"/>
      <c r="D43" s="42"/>
      <c r="E43" s="37"/>
      <c r="F43" s="37"/>
      <c r="G43" s="37"/>
      <c r="H43" s="37"/>
    </row>
    <row r="44" spans="1:8" ht="15">
      <c r="A44" s="53"/>
      <c r="B44" s="7" t="s">
        <v>36</v>
      </c>
      <c r="C44" s="7">
        <f>SUM(C7:C43)</f>
        <v>81594.74</v>
      </c>
      <c r="D44" s="42"/>
      <c r="E44" s="37"/>
      <c r="F44" s="37"/>
      <c r="G44" s="37"/>
      <c r="H44" s="37"/>
    </row>
    <row r="45" spans="1:8" ht="14.25">
      <c r="A45" s="37"/>
      <c r="B45" s="37"/>
      <c r="C45" s="37"/>
      <c r="D45" s="42"/>
      <c r="E45" s="37"/>
      <c r="F45" s="37"/>
      <c r="G45" s="37"/>
      <c r="H45" s="37"/>
    </row>
    <row r="46" spans="1:8" ht="14.25">
      <c r="A46" s="37"/>
      <c r="B46" s="37"/>
      <c r="C46" s="37"/>
      <c r="D46" s="37"/>
      <c r="E46" s="37"/>
      <c r="F46" s="37"/>
      <c r="G46" s="37"/>
      <c r="H46" s="37"/>
    </row>
    <row r="47" spans="1:8" ht="14.25">
      <c r="A47" s="37"/>
      <c r="B47" s="37"/>
      <c r="C47" s="37"/>
      <c r="D47" s="37"/>
      <c r="E47" s="37"/>
      <c r="F47" s="37"/>
      <c r="G47" s="37"/>
      <c r="H47" s="37"/>
    </row>
    <row r="48" ht="12.75">
      <c r="C48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7">
      <selection activeCell="D46" sqref="D46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88" t="s">
        <v>121</v>
      </c>
      <c r="B3" s="88"/>
      <c r="C3" s="88"/>
      <c r="D3" s="88"/>
      <c r="E3" s="88"/>
      <c r="F3" s="88"/>
      <c r="G3" s="88"/>
    </row>
    <row r="4" spans="1:7" ht="15">
      <c r="A4" s="89"/>
      <c r="B4" s="89"/>
      <c r="C4" s="44" t="s">
        <v>44</v>
      </c>
      <c r="D4" s="1"/>
      <c r="E4" s="37"/>
      <c r="F4" s="37"/>
      <c r="G4" s="37"/>
    </row>
    <row r="5" spans="1:7" ht="15">
      <c r="A5" s="50" t="s">
        <v>0</v>
      </c>
      <c r="B5" s="50" t="s">
        <v>1</v>
      </c>
      <c r="C5" s="51" t="s">
        <v>45</v>
      </c>
      <c r="D5" s="51" t="s">
        <v>46</v>
      </c>
      <c r="E5" s="52" t="s">
        <v>49</v>
      </c>
      <c r="F5" s="37"/>
      <c r="G5" s="37"/>
    </row>
    <row r="6" spans="1:7" ht="15">
      <c r="A6" s="40" t="s">
        <v>80</v>
      </c>
      <c r="B6" s="7" t="s">
        <v>6</v>
      </c>
      <c r="C6" s="6">
        <v>13952.84</v>
      </c>
      <c r="D6" s="6">
        <v>42881.55</v>
      </c>
      <c r="E6" s="8">
        <f>C6+D6</f>
        <v>56834.39</v>
      </c>
      <c r="F6" s="37"/>
      <c r="G6" s="37"/>
    </row>
    <row r="7" spans="1:7" ht="15">
      <c r="A7" s="40" t="s">
        <v>53</v>
      </c>
      <c r="B7" s="7" t="s">
        <v>40</v>
      </c>
      <c r="C7" s="6">
        <v>6557.33</v>
      </c>
      <c r="D7" s="6">
        <v>14216.74</v>
      </c>
      <c r="E7" s="8">
        <f aca="true" t="shared" si="0" ref="E7:E43">C7+D7</f>
        <v>20774.07</v>
      </c>
      <c r="F7" s="37"/>
      <c r="G7" s="37"/>
    </row>
    <row r="8" spans="1:7" ht="15">
      <c r="A8" s="40" t="s">
        <v>54</v>
      </c>
      <c r="B8" s="7" t="s">
        <v>8</v>
      </c>
      <c r="C8" s="6">
        <v>49.9</v>
      </c>
      <c r="D8" s="6">
        <v>467.36</v>
      </c>
      <c r="E8" s="8">
        <f t="shared" si="0"/>
        <v>517.26</v>
      </c>
      <c r="F8" s="37"/>
      <c r="G8" s="37"/>
    </row>
    <row r="9" spans="1:7" ht="15">
      <c r="A9" s="40" t="s">
        <v>55</v>
      </c>
      <c r="B9" s="7" t="s">
        <v>9</v>
      </c>
      <c r="C9" s="6">
        <v>1853.56</v>
      </c>
      <c r="D9" s="6">
        <v>3612.08</v>
      </c>
      <c r="E9" s="8">
        <f t="shared" si="0"/>
        <v>5465.639999999999</v>
      </c>
      <c r="F9" s="37"/>
      <c r="G9" s="37"/>
    </row>
    <row r="10" spans="1:7" ht="15">
      <c r="A10" s="40" t="s">
        <v>56</v>
      </c>
      <c r="B10" s="7" t="s">
        <v>10</v>
      </c>
      <c r="C10" s="6">
        <v>262.6</v>
      </c>
      <c r="D10" s="6">
        <v>830.15</v>
      </c>
      <c r="E10" s="8">
        <f t="shared" si="0"/>
        <v>1092.75</v>
      </c>
      <c r="F10" s="37"/>
      <c r="G10" s="37"/>
    </row>
    <row r="11" spans="1:7" ht="15">
      <c r="A11" s="40" t="s">
        <v>57</v>
      </c>
      <c r="B11" s="7" t="s">
        <v>11</v>
      </c>
      <c r="C11" s="6">
        <v>987.59</v>
      </c>
      <c r="D11" s="6">
        <v>3889.57</v>
      </c>
      <c r="E11" s="8">
        <f t="shared" si="0"/>
        <v>4877.16</v>
      </c>
      <c r="F11" s="37"/>
      <c r="G11" s="37"/>
    </row>
    <row r="12" spans="1:7" ht="15">
      <c r="A12" s="40" t="s">
        <v>58</v>
      </c>
      <c r="B12" s="7" t="s">
        <v>12</v>
      </c>
      <c r="C12" s="6">
        <v>2520.3</v>
      </c>
      <c r="D12" s="6">
        <v>8907.47</v>
      </c>
      <c r="E12" s="8">
        <f t="shared" si="0"/>
        <v>11427.77</v>
      </c>
      <c r="F12" s="37"/>
      <c r="G12" s="37"/>
    </row>
    <row r="13" spans="1:7" ht="15">
      <c r="A13" s="40" t="s">
        <v>59</v>
      </c>
      <c r="B13" s="7" t="s">
        <v>13</v>
      </c>
      <c r="C13" s="6">
        <v>6623.76</v>
      </c>
      <c r="D13" s="6">
        <v>19026.89</v>
      </c>
      <c r="E13" s="8">
        <f t="shared" si="0"/>
        <v>25650.65</v>
      </c>
      <c r="F13" s="37"/>
      <c r="G13" s="37"/>
    </row>
    <row r="14" spans="1:7" ht="15">
      <c r="A14" s="40" t="s">
        <v>60</v>
      </c>
      <c r="B14" s="7" t="s">
        <v>14</v>
      </c>
      <c r="C14" s="6">
        <v>4117.57</v>
      </c>
      <c r="D14" s="6">
        <v>10271.59</v>
      </c>
      <c r="E14" s="8">
        <f t="shared" si="0"/>
        <v>14389.16</v>
      </c>
      <c r="F14" s="37"/>
      <c r="G14" s="37"/>
    </row>
    <row r="15" spans="1:7" ht="15">
      <c r="A15" s="40" t="s">
        <v>61</v>
      </c>
      <c r="B15" s="7" t="s">
        <v>15</v>
      </c>
      <c r="C15" s="6">
        <v>20383.25</v>
      </c>
      <c r="D15" s="6">
        <v>61653.36</v>
      </c>
      <c r="E15" s="8">
        <f t="shared" si="0"/>
        <v>82036.61</v>
      </c>
      <c r="F15" s="37"/>
      <c r="G15" s="37"/>
    </row>
    <row r="16" spans="1:7" ht="15">
      <c r="A16" s="40" t="s">
        <v>62</v>
      </c>
      <c r="B16" s="7" t="s">
        <v>16</v>
      </c>
      <c r="C16" s="6">
        <v>12451.97</v>
      </c>
      <c r="D16" s="6">
        <v>34846.35</v>
      </c>
      <c r="E16" s="8">
        <f t="shared" si="0"/>
        <v>47298.32</v>
      </c>
      <c r="F16" s="37"/>
      <c r="G16" s="37"/>
    </row>
    <row r="17" spans="1:7" ht="15">
      <c r="A17" s="40" t="s">
        <v>63</v>
      </c>
      <c r="B17" s="7" t="s">
        <v>41</v>
      </c>
      <c r="C17" s="6">
        <v>5899.49</v>
      </c>
      <c r="D17" s="6">
        <v>21345.98</v>
      </c>
      <c r="E17" s="8">
        <f t="shared" si="0"/>
        <v>27245.47</v>
      </c>
      <c r="F17" s="37"/>
      <c r="G17" s="37"/>
    </row>
    <row r="18" spans="1:7" ht="15">
      <c r="A18" s="40" t="s">
        <v>64</v>
      </c>
      <c r="B18" s="7" t="s">
        <v>18</v>
      </c>
      <c r="C18" s="6">
        <v>4381.08</v>
      </c>
      <c r="D18" s="6">
        <v>12872.59</v>
      </c>
      <c r="E18" s="8">
        <f t="shared" si="0"/>
        <v>17253.67</v>
      </c>
      <c r="F18" s="37"/>
      <c r="G18" s="37"/>
    </row>
    <row r="19" spans="1:7" ht="15">
      <c r="A19" s="40" t="s">
        <v>65</v>
      </c>
      <c r="B19" s="7" t="s">
        <v>19</v>
      </c>
      <c r="C19" s="6">
        <v>1645.54</v>
      </c>
      <c r="D19" s="6">
        <v>5640.7</v>
      </c>
      <c r="E19" s="8">
        <f t="shared" si="0"/>
        <v>7286.24</v>
      </c>
      <c r="F19" s="37"/>
      <c r="G19" s="37"/>
    </row>
    <row r="20" spans="1:7" ht="15">
      <c r="A20" s="40" t="s">
        <v>66</v>
      </c>
      <c r="B20" s="7" t="s">
        <v>20</v>
      </c>
      <c r="C20" s="6">
        <v>2260.58</v>
      </c>
      <c r="D20" s="6">
        <v>10155.64</v>
      </c>
      <c r="E20" s="8">
        <f t="shared" si="0"/>
        <v>12416.22</v>
      </c>
      <c r="F20" s="37"/>
      <c r="G20" s="37"/>
    </row>
    <row r="21" spans="1:7" ht="15">
      <c r="A21" s="40" t="s">
        <v>67</v>
      </c>
      <c r="B21" s="7" t="s">
        <v>21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68</v>
      </c>
      <c r="B22" s="7" t="s">
        <v>22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69</v>
      </c>
      <c r="B23" s="7" t="s">
        <v>23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70</v>
      </c>
      <c r="B24" s="7" t="s">
        <v>24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71</v>
      </c>
      <c r="B25" s="7" t="s">
        <v>25</v>
      </c>
      <c r="C25" s="6">
        <v>2528.33</v>
      </c>
      <c r="D25" s="6">
        <v>7810.55</v>
      </c>
      <c r="E25" s="8">
        <f t="shared" si="0"/>
        <v>10338.880000000001</v>
      </c>
      <c r="F25" s="37"/>
      <c r="G25" s="37"/>
    </row>
    <row r="26" spans="1:7" ht="15">
      <c r="A26" s="40" t="s">
        <v>72</v>
      </c>
      <c r="B26" s="7" t="s">
        <v>26</v>
      </c>
      <c r="C26" s="6">
        <v>2889.12</v>
      </c>
      <c r="D26" s="6">
        <v>5164.76</v>
      </c>
      <c r="E26" s="8">
        <f t="shared" si="0"/>
        <v>8053.88</v>
      </c>
      <c r="F26" s="37"/>
      <c r="G26" s="37"/>
    </row>
    <row r="27" spans="1:7" ht="15">
      <c r="A27" s="40" t="s">
        <v>73</v>
      </c>
      <c r="B27" s="7" t="s">
        <v>27</v>
      </c>
      <c r="C27" s="6"/>
      <c r="D27" s="6"/>
      <c r="E27" s="8">
        <f t="shared" si="0"/>
        <v>0</v>
      </c>
      <c r="F27" s="37"/>
      <c r="G27" s="37"/>
    </row>
    <row r="28" spans="1:7" ht="15">
      <c r="A28" s="40" t="s">
        <v>74</v>
      </c>
      <c r="B28" s="7" t="s">
        <v>28</v>
      </c>
      <c r="C28" s="6"/>
      <c r="D28" s="6"/>
      <c r="E28" s="8">
        <f t="shared" si="0"/>
        <v>0</v>
      </c>
      <c r="F28" s="37"/>
      <c r="G28" s="37"/>
    </row>
    <row r="29" spans="1:7" ht="15">
      <c r="A29" s="40" t="s">
        <v>75</v>
      </c>
      <c r="B29" s="7" t="s">
        <v>29</v>
      </c>
      <c r="C29" s="6">
        <v>5633.61</v>
      </c>
      <c r="D29" s="6">
        <v>21370.21</v>
      </c>
      <c r="E29" s="8">
        <f t="shared" si="0"/>
        <v>27003.82</v>
      </c>
      <c r="F29" s="37"/>
      <c r="G29" s="37"/>
    </row>
    <row r="30" spans="1:7" ht="15">
      <c r="A30" s="40" t="s">
        <v>76</v>
      </c>
      <c r="B30" s="7" t="s">
        <v>30</v>
      </c>
      <c r="C30" s="6">
        <v>8181.02</v>
      </c>
      <c r="D30" s="6">
        <v>20007.93</v>
      </c>
      <c r="E30" s="8">
        <f t="shared" si="0"/>
        <v>28188.95</v>
      </c>
      <c r="F30" s="37"/>
      <c r="G30" s="37"/>
    </row>
    <row r="31" spans="1:7" ht="15">
      <c r="A31" s="40" t="s">
        <v>77</v>
      </c>
      <c r="B31" s="7" t="s">
        <v>31</v>
      </c>
      <c r="C31" s="6">
        <v>704.85</v>
      </c>
      <c r="D31" s="6">
        <v>1999.45</v>
      </c>
      <c r="E31" s="8">
        <f t="shared" si="0"/>
        <v>2704.3</v>
      </c>
      <c r="F31" s="37"/>
      <c r="G31" s="37"/>
    </row>
    <row r="32" spans="1:7" ht="15">
      <c r="A32" s="40" t="s">
        <v>78</v>
      </c>
      <c r="B32" s="7" t="s">
        <v>32</v>
      </c>
      <c r="C32" s="6"/>
      <c r="D32" s="6"/>
      <c r="E32" s="8">
        <f t="shared" si="0"/>
        <v>0</v>
      </c>
      <c r="F32" s="37"/>
      <c r="G32" s="37"/>
    </row>
    <row r="33" spans="1:7" ht="15">
      <c r="A33" s="40" t="s">
        <v>79</v>
      </c>
      <c r="B33" s="7" t="s">
        <v>33</v>
      </c>
      <c r="C33" s="6">
        <v>4429.43</v>
      </c>
      <c r="D33" s="6">
        <v>19497.77</v>
      </c>
      <c r="E33" s="8">
        <f t="shared" si="0"/>
        <v>23927.2</v>
      </c>
      <c r="F33" s="37"/>
      <c r="G33" s="37"/>
    </row>
    <row r="34" spans="1:7" ht="15">
      <c r="A34" s="40" t="s">
        <v>81</v>
      </c>
      <c r="B34" s="7" t="s">
        <v>34</v>
      </c>
      <c r="C34" s="6"/>
      <c r="D34" s="6"/>
      <c r="E34" s="8">
        <f t="shared" si="0"/>
        <v>0</v>
      </c>
      <c r="F34" s="37"/>
      <c r="G34" s="37"/>
    </row>
    <row r="35" spans="1:7" ht="15">
      <c r="A35" s="40" t="s">
        <v>82</v>
      </c>
      <c r="B35" s="7" t="s">
        <v>35</v>
      </c>
      <c r="C35" s="6">
        <v>304.93</v>
      </c>
      <c r="D35" s="6">
        <v>1119.91</v>
      </c>
      <c r="E35" s="8">
        <f t="shared" si="0"/>
        <v>1424.8400000000001</v>
      </c>
      <c r="F35" s="37"/>
      <c r="G35" s="37"/>
    </row>
    <row r="36" spans="1:7" ht="15">
      <c r="A36" s="40" t="s">
        <v>83</v>
      </c>
      <c r="B36" s="7" t="s">
        <v>88</v>
      </c>
      <c r="C36" s="6"/>
      <c r="D36" s="6"/>
      <c r="E36" s="8">
        <f t="shared" si="0"/>
        <v>0</v>
      </c>
      <c r="F36" s="37"/>
      <c r="G36" s="37"/>
    </row>
    <row r="37" spans="1:7" ht="15">
      <c r="A37" s="40" t="s">
        <v>84</v>
      </c>
      <c r="B37" s="7" t="s">
        <v>91</v>
      </c>
      <c r="C37" s="6">
        <v>3508.44</v>
      </c>
      <c r="D37" s="6">
        <v>10559.12</v>
      </c>
      <c r="E37" s="8">
        <f t="shared" si="0"/>
        <v>14067.560000000001</v>
      </c>
      <c r="F37" s="37"/>
      <c r="G37" s="37"/>
    </row>
    <row r="38" spans="1:7" ht="15">
      <c r="A38" s="40" t="s">
        <v>85</v>
      </c>
      <c r="B38" s="7" t="s">
        <v>92</v>
      </c>
      <c r="C38" s="6">
        <v>15188.19</v>
      </c>
      <c r="D38" s="6">
        <v>34032.88</v>
      </c>
      <c r="E38" s="8">
        <f t="shared" si="0"/>
        <v>49221.07</v>
      </c>
      <c r="F38" s="37"/>
      <c r="G38" s="37"/>
    </row>
    <row r="39" spans="1:7" ht="15">
      <c r="A39" s="40" t="s">
        <v>86</v>
      </c>
      <c r="B39" s="7" t="s">
        <v>94</v>
      </c>
      <c r="C39" s="6"/>
      <c r="D39" s="6"/>
      <c r="E39" s="8">
        <f t="shared" si="0"/>
        <v>0</v>
      </c>
      <c r="F39" s="37"/>
      <c r="G39" s="37"/>
    </row>
    <row r="40" spans="1:7" ht="15">
      <c r="A40" s="40" t="s">
        <v>87</v>
      </c>
      <c r="B40" s="7" t="s">
        <v>97</v>
      </c>
      <c r="C40" s="6">
        <v>469.84</v>
      </c>
      <c r="D40" s="6">
        <v>514.1</v>
      </c>
      <c r="E40" s="8">
        <f t="shared" si="0"/>
        <v>983.94</v>
      </c>
      <c r="F40" s="37"/>
      <c r="G40" s="37"/>
    </row>
    <row r="41" spans="1:7" ht="15">
      <c r="A41" s="40" t="s">
        <v>93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5">
      <c r="A42" s="40" t="s">
        <v>95</v>
      </c>
      <c r="B42" s="7" t="s">
        <v>102</v>
      </c>
      <c r="C42" s="6"/>
      <c r="D42" s="6"/>
      <c r="E42" s="8">
        <f t="shared" si="0"/>
        <v>0</v>
      </c>
      <c r="F42" s="37"/>
      <c r="G42" s="37"/>
    </row>
    <row r="43" spans="1:7" ht="15">
      <c r="A43" s="53"/>
      <c r="B43" s="7" t="s">
        <v>36</v>
      </c>
      <c r="C43" s="7">
        <f>SUM(C6:C42)</f>
        <v>127785.12</v>
      </c>
      <c r="D43" s="7">
        <f>SUM(D6:D42)</f>
        <v>372694.7</v>
      </c>
      <c r="E43" s="8">
        <f t="shared" si="0"/>
        <v>500479.82</v>
      </c>
      <c r="F43" s="37"/>
      <c r="G43" s="37"/>
    </row>
    <row r="44" spans="1:7" ht="14.25">
      <c r="A44" s="37"/>
      <c r="B44" s="37"/>
      <c r="C44" s="37"/>
      <c r="D44" s="37"/>
      <c r="E44" s="1"/>
      <c r="F44" s="37"/>
      <c r="G44" s="37"/>
    </row>
    <row r="45" spans="1:7" ht="14.25">
      <c r="A45" s="37"/>
      <c r="B45" s="37"/>
      <c r="C45" s="37"/>
      <c r="D45" s="37"/>
      <c r="E45" s="37"/>
      <c r="F45" s="37"/>
      <c r="G45" s="37"/>
    </row>
    <row r="46" ht="12.75">
      <c r="D46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4">
      <selection activeCell="C44" sqref="C44:D44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87" t="s">
        <v>122</v>
      </c>
      <c r="B3" s="87"/>
      <c r="C3" s="87"/>
      <c r="D3" s="87"/>
      <c r="E3" s="87"/>
      <c r="F3" s="87"/>
    </row>
    <row r="4" spans="1:6" ht="15">
      <c r="A4" s="90"/>
      <c r="B4" s="90"/>
      <c r="C4" s="90"/>
      <c r="D4" s="90"/>
      <c r="E4" s="90"/>
      <c r="F4" s="37"/>
    </row>
    <row r="5" spans="1:6" ht="14.25">
      <c r="A5" s="89"/>
      <c r="B5" s="89"/>
      <c r="C5" s="37"/>
      <c r="D5" s="37"/>
      <c r="E5" s="37"/>
      <c r="F5" s="37"/>
    </row>
    <row r="6" spans="1:6" ht="15">
      <c r="A6" s="50" t="s">
        <v>0</v>
      </c>
      <c r="B6" s="50" t="s">
        <v>1</v>
      </c>
      <c r="C6" s="51" t="s">
        <v>47</v>
      </c>
      <c r="D6" s="51" t="s">
        <v>48</v>
      </c>
      <c r="E6" s="37"/>
      <c r="F6" s="37"/>
    </row>
    <row r="7" spans="1:6" ht="15">
      <c r="A7" s="40" t="s">
        <v>80</v>
      </c>
      <c r="B7" s="7" t="s">
        <v>6</v>
      </c>
      <c r="C7" s="54">
        <v>8640</v>
      </c>
      <c r="D7" s="7">
        <v>2400</v>
      </c>
      <c r="E7" s="37"/>
      <c r="F7" s="37"/>
    </row>
    <row r="8" spans="1:6" ht="15">
      <c r="A8" s="40" t="s">
        <v>53</v>
      </c>
      <c r="B8" s="7" t="s">
        <v>40</v>
      </c>
      <c r="C8" s="54">
        <v>2880</v>
      </c>
      <c r="D8" s="7"/>
      <c r="E8" s="37"/>
      <c r="F8" s="37"/>
    </row>
    <row r="9" spans="1:6" ht="15">
      <c r="A9" s="40" t="s">
        <v>54</v>
      </c>
      <c r="B9" s="7" t="s">
        <v>8</v>
      </c>
      <c r="C9" s="54">
        <v>120</v>
      </c>
      <c r="D9" s="7"/>
      <c r="E9" s="37"/>
      <c r="F9" s="37"/>
    </row>
    <row r="10" spans="1:6" ht="15">
      <c r="A10" s="40" t="s">
        <v>55</v>
      </c>
      <c r="B10" s="7" t="s">
        <v>9</v>
      </c>
      <c r="C10" s="54">
        <v>840</v>
      </c>
      <c r="D10" s="7"/>
      <c r="E10" s="37"/>
      <c r="F10" s="37"/>
    </row>
    <row r="11" spans="1:6" ht="15">
      <c r="A11" s="40" t="s">
        <v>56</v>
      </c>
      <c r="B11" s="7" t="s">
        <v>10</v>
      </c>
      <c r="C11" s="54">
        <v>120</v>
      </c>
      <c r="D11" s="7"/>
      <c r="E11" s="37"/>
      <c r="F11" s="37"/>
    </row>
    <row r="12" spans="1:6" ht="15">
      <c r="A12" s="40" t="s">
        <v>57</v>
      </c>
      <c r="B12" s="7" t="s">
        <v>11</v>
      </c>
      <c r="C12" s="54">
        <v>960</v>
      </c>
      <c r="D12" s="7"/>
      <c r="E12" s="37"/>
      <c r="F12" s="37"/>
    </row>
    <row r="13" spans="1:6" ht="15">
      <c r="A13" s="40" t="s">
        <v>58</v>
      </c>
      <c r="B13" s="7" t="s">
        <v>12</v>
      </c>
      <c r="C13" s="54">
        <v>1680</v>
      </c>
      <c r="D13" s="7"/>
      <c r="E13" s="37"/>
      <c r="F13" s="37"/>
    </row>
    <row r="14" spans="1:6" ht="15">
      <c r="A14" s="40" t="s">
        <v>59</v>
      </c>
      <c r="B14" s="7" t="s">
        <v>13</v>
      </c>
      <c r="C14" s="54">
        <v>4680</v>
      </c>
      <c r="D14" s="7"/>
      <c r="E14" s="37"/>
      <c r="F14" s="37"/>
    </row>
    <row r="15" spans="1:6" ht="15">
      <c r="A15" s="40" t="s">
        <v>60</v>
      </c>
      <c r="B15" s="7" t="s">
        <v>14</v>
      </c>
      <c r="C15" s="54">
        <v>2040</v>
      </c>
      <c r="D15" s="7"/>
      <c r="E15" s="37"/>
      <c r="F15" s="37"/>
    </row>
    <row r="16" spans="1:6" ht="15">
      <c r="A16" s="40" t="s">
        <v>61</v>
      </c>
      <c r="B16" s="7" t="s">
        <v>15</v>
      </c>
      <c r="C16" s="54">
        <v>11160</v>
      </c>
      <c r="D16" s="7">
        <v>3960</v>
      </c>
      <c r="E16" s="37"/>
      <c r="F16" s="37"/>
    </row>
    <row r="17" spans="1:6" ht="15">
      <c r="A17" s="40" t="s">
        <v>62</v>
      </c>
      <c r="B17" s="7" t="s">
        <v>16</v>
      </c>
      <c r="C17" s="54">
        <v>6120</v>
      </c>
      <c r="D17" s="7">
        <v>960</v>
      </c>
      <c r="E17" s="37"/>
      <c r="F17" s="37"/>
    </row>
    <row r="18" spans="1:6" ht="15">
      <c r="A18" s="40" t="s">
        <v>63</v>
      </c>
      <c r="B18" s="7" t="s">
        <v>41</v>
      </c>
      <c r="C18" s="54">
        <v>4440</v>
      </c>
      <c r="D18" s="7">
        <v>480</v>
      </c>
      <c r="E18" s="37"/>
      <c r="F18" s="37"/>
    </row>
    <row r="19" spans="1:6" ht="15">
      <c r="A19" s="40" t="s">
        <v>64</v>
      </c>
      <c r="B19" s="7" t="s">
        <v>18</v>
      </c>
      <c r="C19" s="54">
        <v>2160</v>
      </c>
      <c r="D19" s="7"/>
      <c r="E19" s="37"/>
      <c r="F19" s="37"/>
    </row>
    <row r="20" spans="1:6" ht="15">
      <c r="A20" s="40" t="s">
        <v>65</v>
      </c>
      <c r="B20" s="7" t="s">
        <v>19</v>
      </c>
      <c r="C20" s="54">
        <v>1680</v>
      </c>
      <c r="D20" s="7"/>
      <c r="E20" s="37"/>
      <c r="F20" s="37"/>
    </row>
    <row r="21" spans="1:6" ht="15">
      <c r="A21" s="40" t="s">
        <v>66</v>
      </c>
      <c r="B21" s="7" t="s">
        <v>20</v>
      </c>
      <c r="C21" s="54">
        <v>3960</v>
      </c>
      <c r="D21" s="7"/>
      <c r="E21" s="37"/>
      <c r="F21" s="37"/>
    </row>
    <row r="22" spans="1:6" ht="15">
      <c r="A22" s="40" t="s">
        <v>67</v>
      </c>
      <c r="B22" s="7" t="s">
        <v>21</v>
      </c>
      <c r="C22" s="54"/>
      <c r="D22" s="7"/>
      <c r="E22" s="37"/>
      <c r="F22" s="37"/>
    </row>
    <row r="23" spans="1:6" ht="15">
      <c r="A23" s="40" t="s">
        <v>68</v>
      </c>
      <c r="B23" s="7" t="s">
        <v>22</v>
      </c>
      <c r="C23" s="54"/>
      <c r="D23" s="7"/>
      <c r="E23" s="37"/>
      <c r="F23" s="37"/>
    </row>
    <row r="24" spans="1:6" ht="15">
      <c r="A24" s="40" t="s">
        <v>69</v>
      </c>
      <c r="B24" s="7" t="s">
        <v>23</v>
      </c>
      <c r="C24" s="54"/>
      <c r="D24" s="7"/>
      <c r="E24" s="37"/>
      <c r="F24" s="37"/>
    </row>
    <row r="25" spans="1:6" ht="15">
      <c r="A25" s="40" t="s">
        <v>70</v>
      </c>
      <c r="B25" s="7" t="s">
        <v>24</v>
      </c>
      <c r="C25" s="54"/>
      <c r="D25" s="7"/>
      <c r="E25" s="37"/>
      <c r="F25" s="37"/>
    </row>
    <row r="26" spans="1:6" ht="15">
      <c r="A26" s="40" t="s">
        <v>71</v>
      </c>
      <c r="B26" s="7" t="s">
        <v>25</v>
      </c>
      <c r="C26" s="54">
        <v>3000</v>
      </c>
      <c r="D26" s="7"/>
      <c r="E26" s="37"/>
      <c r="F26" s="37"/>
    </row>
    <row r="27" spans="1:6" ht="15">
      <c r="A27" s="40" t="s">
        <v>72</v>
      </c>
      <c r="B27" s="7" t="s">
        <v>26</v>
      </c>
      <c r="C27" s="54">
        <v>960</v>
      </c>
      <c r="D27" s="7"/>
      <c r="E27" s="37"/>
      <c r="F27" s="37"/>
    </row>
    <row r="28" spans="1:6" ht="15">
      <c r="A28" s="40" t="s">
        <v>73</v>
      </c>
      <c r="B28" s="7" t="s">
        <v>27</v>
      </c>
      <c r="C28" s="54"/>
      <c r="D28" s="7"/>
      <c r="E28" s="37"/>
      <c r="F28" s="37"/>
    </row>
    <row r="29" spans="1:6" ht="15">
      <c r="A29" s="40" t="s">
        <v>74</v>
      </c>
      <c r="B29" s="7" t="s">
        <v>28</v>
      </c>
      <c r="C29" s="54"/>
      <c r="D29" s="7"/>
      <c r="E29" s="37"/>
      <c r="F29" s="37"/>
    </row>
    <row r="30" spans="1:6" ht="15">
      <c r="A30" s="40" t="s">
        <v>75</v>
      </c>
      <c r="B30" s="7" t="s">
        <v>29</v>
      </c>
      <c r="C30" s="54">
        <v>4560</v>
      </c>
      <c r="D30" s="7"/>
      <c r="E30" s="37"/>
      <c r="F30" s="37"/>
    </row>
    <row r="31" spans="1:6" ht="15">
      <c r="A31" s="40" t="s">
        <v>76</v>
      </c>
      <c r="B31" s="7" t="s">
        <v>30</v>
      </c>
      <c r="C31" s="54">
        <v>4080</v>
      </c>
      <c r="D31" s="7">
        <v>480</v>
      </c>
      <c r="E31" s="37"/>
      <c r="F31" s="37"/>
    </row>
    <row r="32" spans="1:6" ht="15">
      <c r="A32" s="40" t="s">
        <v>77</v>
      </c>
      <c r="B32" s="7" t="s">
        <v>31</v>
      </c>
      <c r="C32" s="54">
        <v>720</v>
      </c>
      <c r="D32" s="7"/>
      <c r="E32" s="37"/>
      <c r="F32" s="37"/>
    </row>
    <row r="33" spans="1:6" ht="15">
      <c r="A33" s="40" t="s">
        <v>78</v>
      </c>
      <c r="B33" s="7" t="s">
        <v>32</v>
      </c>
      <c r="C33" s="54"/>
      <c r="D33" s="7"/>
      <c r="E33" s="37"/>
      <c r="F33" s="37"/>
    </row>
    <row r="34" spans="1:6" ht="15">
      <c r="A34" s="40" t="s">
        <v>79</v>
      </c>
      <c r="B34" s="7" t="s">
        <v>33</v>
      </c>
      <c r="C34" s="54">
        <v>3840</v>
      </c>
      <c r="D34" s="7"/>
      <c r="E34" s="37"/>
      <c r="F34" s="37"/>
    </row>
    <row r="35" spans="1:6" ht="15">
      <c r="A35" s="40" t="s">
        <v>81</v>
      </c>
      <c r="B35" s="7" t="s">
        <v>34</v>
      </c>
      <c r="C35" s="54"/>
      <c r="D35" s="7"/>
      <c r="E35" s="37"/>
      <c r="F35" s="37"/>
    </row>
    <row r="36" spans="1:6" ht="15">
      <c r="A36" s="40" t="s">
        <v>82</v>
      </c>
      <c r="B36" s="7" t="s">
        <v>35</v>
      </c>
      <c r="C36" s="54">
        <v>240</v>
      </c>
      <c r="D36" s="7"/>
      <c r="E36" s="37"/>
      <c r="F36" s="37"/>
    </row>
    <row r="37" spans="1:6" ht="15">
      <c r="A37" s="40" t="s">
        <v>83</v>
      </c>
      <c r="B37" s="7" t="s">
        <v>88</v>
      </c>
      <c r="C37" s="54"/>
      <c r="D37" s="7"/>
      <c r="E37" s="37"/>
      <c r="F37" s="37"/>
    </row>
    <row r="38" spans="1:6" ht="15">
      <c r="A38" s="40" t="s">
        <v>84</v>
      </c>
      <c r="B38" s="7" t="s">
        <v>91</v>
      </c>
      <c r="C38" s="54">
        <v>2160</v>
      </c>
      <c r="D38" s="7">
        <v>480</v>
      </c>
      <c r="E38" s="37"/>
      <c r="F38" s="37"/>
    </row>
    <row r="39" spans="1:6" ht="15">
      <c r="A39" s="40" t="s">
        <v>85</v>
      </c>
      <c r="B39" s="7" t="s">
        <v>92</v>
      </c>
      <c r="C39" s="54">
        <v>6480</v>
      </c>
      <c r="D39" s="7"/>
      <c r="E39" s="37"/>
      <c r="F39" s="37"/>
    </row>
    <row r="40" spans="1:6" ht="15">
      <c r="A40" s="40" t="s">
        <v>86</v>
      </c>
      <c r="B40" s="7" t="s">
        <v>94</v>
      </c>
      <c r="C40" s="45"/>
      <c r="D40" s="6"/>
      <c r="E40" s="37"/>
      <c r="F40" s="37"/>
    </row>
    <row r="41" spans="1:6" ht="15">
      <c r="A41" s="40" t="s">
        <v>87</v>
      </c>
      <c r="B41" s="7" t="s">
        <v>97</v>
      </c>
      <c r="C41" s="54">
        <v>120</v>
      </c>
      <c r="D41" s="6"/>
      <c r="E41" s="37"/>
      <c r="F41" s="37"/>
    </row>
    <row r="42" spans="1:6" ht="15">
      <c r="A42" s="40" t="s">
        <v>93</v>
      </c>
      <c r="B42" s="7" t="s">
        <v>98</v>
      </c>
      <c r="C42" s="54"/>
      <c r="D42" s="6"/>
      <c r="E42" s="37"/>
      <c r="F42" s="37"/>
    </row>
    <row r="43" spans="1:6" ht="15">
      <c r="A43" s="40" t="s">
        <v>95</v>
      </c>
      <c r="B43" s="7" t="s">
        <v>102</v>
      </c>
      <c r="C43" s="54"/>
      <c r="D43" s="6"/>
      <c r="E43" s="37"/>
      <c r="F43" s="37"/>
    </row>
    <row r="44" spans="1:6" ht="15">
      <c r="A44" s="53"/>
      <c r="B44" s="7" t="s">
        <v>36</v>
      </c>
      <c r="C44" s="54">
        <f>SUM(C7:C43)</f>
        <v>77640</v>
      </c>
      <c r="D44" s="54">
        <f>SUM(D7:D43)</f>
        <v>8760</v>
      </c>
      <c r="E44" s="1"/>
      <c r="F44" s="37"/>
    </row>
    <row r="45" spans="1:6" ht="14.25">
      <c r="A45" s="37"/>
      <c r="B45" s="37"/>
      <c r="C45" s="1"/>
      <c r="D45" s="37"/>
      <c r="E45" s="37"/>
      <c r="F45" s="37"/>
    </row>
    <row r="46" spans="1:6" ht="14.25">
      <c r="A46" s="37"/>
      <c r="B46" s="37"/>
      <c r="C46" s="37"/>
      <c r="D46" s="37"/>
      <c r="E46" s="37"/>
      <c r="F46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A3" sqref="A3:I43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87" t="s">
        <v>123</v>
      </c>
      <c r="B3" s="87"/>
      <c r="C3" s="87"/>
      <c r="D3" s="87"/>
      <c r="E3" s="87"/>
      <c r="F3" s="87"/>
      <c r="G3" s="87"/>
      <c r="H3" s="87"/>
      <c r="I3" s="87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114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/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/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13426.33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/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/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/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/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/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/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/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/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>
        <v>29706.52</v>
      </c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/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59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59" t="s">
        <v>102</v>
      </c>
      <c r="C42" s="58"/>
      <c r="D42" s="47"/>
      <c r="E42" s="12"/>
      <c r="F42" s="1"/>
      <c r="G42" s="1"/>
      <c r="H42" s="37"/>
      <c r="I42" s="37"/>
    </row>
    <row r="43" spans="1:9" ht="15.75" thickBot="1">
      <c r="A43" s="55"/>
      <c r="B43" s="56" t="s">
        <v>36</v>
      </c>
      <c r="C43" s="57">
        <f>SUM(C6:C42)</f>
        <v>43132.85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A3" sqref="A3:I43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87" t="s">
        <v>124</v>
      </c>
      <c r="B3" s="87"/>
      <c r="C3" s="87"/>
      <c r="D3" s="87"/>
      <c r="E3" s="87"/>
      <c r="F3" s="87"/>
      <c r="G3" s="87"/>
      <c r="H3" s="87"/>
      <c r="I3" s="87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50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>
        <v>19490.36</v>
      </c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>
        <v>11234.47</v>
      </c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>
        <v>103.43</v>
      </c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>
        <v>189.11</v>
      </c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>
        <v>1251.6</v>
      </c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4474.9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>
        <v>12120.22</v>
      </c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>
        <v>3992.26</v>
      </c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>
        <v>56172.77</v>
      </c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>
        <v>253.66</v>
      </c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>
        <v>13011.95</v>
      </c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>
        <v>93.65</v>
      </c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>
        <v>154.91</v>
      </c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>
        <v>7410.4</v>
      </c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>
        <v>26402.92</v>
      </c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>
        <v>154.91</v>
      </c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>
        <v>154.91</v>
      </c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>
        <v>724.49</v>
      </c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7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7" t="s">
        <v>102</v>
      </c>
      <c r="C42" s="58"/>
      <c r="D42" s="47"/>
      <c r="E42" s="12"/>
      <c r="F42" s="1"/>
      <c r="G42" s="1"/>
      <c r="H42" s="37"/>
      <c r="I42" s="37"/>
    </row>
    <row r="43" spans="1:9" ht="15.75" thickBot="1">
      <c r="A43" s="55"/>
      <c r="B43" s="56" t="s">
        <v>36</v>
      </c>
      <c r="C43" s="57">
        <f>SUM(C6:C42)</f>
        <v>157390.91999999998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4">
      <selection activeCell="A3" sqref="A3:I43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87" t="s">
        <v>125</v>
      </c>
      <c r="B3" s="87"/>
      <c r="C3" s="87"/>
      <c r="D3" s="87"/>
      <c r="E3" s="87"/>
      <c r="F3" s="87"/>
      <c r="G3" s="87"/>
      <c r="H3" s="87"/>
      <c r="I3" s="87"/>
    </row>
    <row r="4" spans="1:9" ht="14.25">
      <c r="A4" s="89"/>
      <c r="B4" s="89"/>
      <c r="C4" s="89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51</v>
      </c>
      <c r="D5" s="37"/>
      <c r="E5" s="37"/>
      <c r="F5" s="37"/>
      <c r="G5" s="37"/>
      <c r="H5" s="37"/>
      <c r="I5" s="37"/>
    </row>
    <row r="6" spans="1:9" ht="15">
      <c r="A6" s="40" t="s">
        <v>80</v>
      </c>
      <c r="B6" s="7" t="s">
        <v>6</v>
      </c>
      <c r="C6" s="48"/>
      <c r="D6" s="37"/>
      <c r="E6" s="37"/>
      <c r="F6" s="37"/>
      <c r="G6" s="37"/>
      <c r="H6" s="37"/>
      <c r="I6" s="37"/>
    </row>
    <row r="7" spans="1:9" ht="15">
      <c r="A7" s="40" t="s">
        <v>53</v>
      </c>
      <c r="B7" s="7" t="s">
        <v>40</v>
      </c>
      <c r="C7" s="48"/>
      <c r="D7" s="37"/>
      <c r="E7" s="37"/>
      <c r="F7" s="37"/>
      <c r="G7" s="37"/>
      <c r="H7" s="37"/>
      <c r="I7" s="37"/>
    </row>
    <row r="8" spans="1:9" ht="15">
      <c r="A8" s="40" t="s">
        <v>54</v>
      </c>
      <c r="B8" s="7" t="s">
        <v>8</v>
      </c>
      <c r="C8" s="48"/>
      <c r="D8" s="37"/>
      <c r="E8" s="37"/>
      <c r="F8" s="37"/>
      <c r="G8" s="37"/>
      <c r="H8" s="37"/>
      <c r="I8" s="37"/>
    </row>
    <row r="9" spans="1:9" ht="15">
      <c r="A9" s="40" t="s">
        <v>55</v>
      </c>
      <c r="B9" s="7" t="s">
        <v>9</v>
      </c>
      <c r="C9" s="48"/>
      <c r="D9" s="37"/>
      <c r="E9" s="37"/>
      <c r="F9" s="37"/>
      <c r="G9" s="37"/>
      <c r="H9" s="37"/>
      <c r="I9" s="37"/>
    </row>
    <row r="10" spans="1:9" ht="15">
      <c r="A10" s="40" t="s">
        <v>56</v>
      </c>
      <c r="B10" s="7" t="s">
        <v>10</v>
      </c>
      <c r="C10" s="48"/>
      <c r="D10" s="37"/>
      <c r="E10" s="37"/>
      <c r="F10" s="37"/>
      <c r="G10" s="37"/>
      <c r="H10" s="37"/>
      <c r="I10" s="37"/>
    </row>
    <row r="11" spans="1:9" ht="15">
      <c r="A11" s="40" t="s">
        <v>57</v>
      </c>
      <c r="B11" s="7" t="s">
        <v>11</v>
      </c>
      <c r="C11" s="48"/>
      <c r="D11" s="37"/>
      <c r="E11" s="37"/>
      <c r="F11" s="37"/>
      <c r="G11" s="37"/>
      <c r="H11" s="37"/>
      <c r="I11" s="37"/>
    </row>
    <row r="12" spans="1:9" ht="15">
      <c r="A12" s="40" t="s">
        <v>58</v>
      </c>
      <c r="B12" s="7" t="s">
        <v>12</v>
      </c>
      <c r="C12" s="48"/>
      <c r="D12" s="37"/>
      <c r="E12" s="37"/>
      <c r="F12" s="37"/>
      <c r="G12" s="37"/>
      <c r="H12" s="37"/>
      <c r="I12" s="37"/>
    </row>
    <row r="13" spans="1:9" ht="15">
      <c r="A13" s="40" t="s">
        <v>59</v>
      </c>
      <c r="B13" s="7" t="s">
        <v>13</v>
      </c>
      <c r="C13" s="48"/>
      <c r="D13" s="37"/>
      <c r="E13" s="37"/>
      <c r="F13" s="37"/>
      <c r="G13" s="37"/>
      <c r="H13" s="37"/>
      <c r="I13" s="37"/>
    </row>
    <row r="14" spans="1:9" ht="15">
      <c r="A14" s="40" t="s">
        <v>60</v>
      </c>
      <c r="B14" s="7" t="s">
        <v>14</v>
      </c>
      <c r="C14" s="48"/>
      <c r="D14" s="37"/>
      <c r="E14" s="37"/>
      <c r="F14" s="37"/>
      <c r="G14" s="37"/>
      <c r="H14" s="37"/>
      <c r="I14" s="37"/>
    </row>
    <row r="15" spans="1:9" ht="15">
      <c r="A15" s="40" t="s">
        <v>61</v>
      </c>
      <c r="B15" s="7" t="s">
        <v>15</v>
      </c>
      <c r="C15" s="8">
        <v>30108.03</v>
      </c>
      <c r="D15" s="37"/>
      <c r="E15" s="37"/>
      <c r="F15" s="37"/>
      <c r="G15" s="37"/>
      <c r="H15" s="37"/>
      <c r="I15" s="37"/>
    </row>
    <row r="16" spans="1:9" ht="15">
      <c r="A16" s="40" t="s">
        <v>62</v>
      </c>
      <c r="B16" s="7" t="s">
        <v>16</v>
      </c>
      <c r="C16" s="48"/>
      <c r="D16" s="37"/>
      <c r="E16" s="37"/>
      <c r="F16" s="37"/>
      <c r="G16" s="37"/>
      <c r="H16" s="37"/>
      <c r="I16" s="37"/>
    </row>
    <row r="17" spans="1:9" ht="15">
      <c r="A17" s="40" t="s">
        <v>63</v>
      </c>
      <c r="B17" s="7" t="s">
        <v>41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64</v>
      </c>
      <c r="B18" s="7" t="s">
        <v>18</v>
      </c>
      <c r="C18" s="48"/>
      <c r="D18" s="37"/>
      <c r="E18" s="37"/>
      <c r="F18" s="37"/>
      <c r="G18" s="37"/>
      <c r="H18" s="37"/>
      <c r="I18" s="37"/>
    </row>
    <row r="19" spans="1:9" ht="15">
      <c r="A19" s="40" t="s">
        <v>65</v>
      </c>
      <c r="B19" s="7" t="s">
        <v>19</v>
      </c>
      <c r="C19" s="48"/>
      <c r="D19" s="37"/>
      <c r="E19" s="37"/>
      <c r="F19" s="37"/>
      <c r="G19" s="37"/>
      <c r="H19" s="37"/>
      <c r="I19" s="37"/>
    </row>
    <row r="20" spans="1:9" ht="15">
      <c r="A20" s="40" t="s">
        <v>66</v>
      </c>
      <c r="B20" s="7" t="s">
        <v>20</v>
      </c>
      <c r="C20" s="48"/>
      <c r="D20" s="37"/>
      <c r="E20" s="37"/>
      <c r="F20" s="37"/>
      <c r="G20" s="37"/>
      <c r="H20" s="37"/>
      <c r="I20" s="37"/>
    </row>
    <row r="21" spans="1:9" ht="15">
      <c r="A21" s="40" t="s">
        <v>67</v>
      </c>
      <c r="B21" s="7" t="s">
        <v>21</v>
      </c>
      <c r="C21" s="48"/>
      <c r="D21" s="37"/>
      <c r="E21" s="37"/>
      <c r="F21" s="37"/>
      <c r="G21" s="37"/>
      <c r="H21" s="37"/>
      <c r="I21" s="37"/>
    </row>
    <row r="22" spans="1:9" ht="15">
      <c r="A22" s="40" t="s">
        <v>68</v>
      </c>
      <c r="B22" s="7" t="s">
        <v>22</v>
      </c>
      <c r="C22" s="48"/>
      <c r="D22" s="37"/>
      <c r="E22" s="37"/>
      <c r="F22" s="37"/>
      <c r="G22" s="37"/>
      <c r="H22" s="37"/>
      <c r="I22" s="37"/>
    </row>
    <row r="23" spans="1:9" ht="15">
      <c r="A23" s="40" t="s">
        <v>69</v>
      </c>
      <c r="B23" s="7" t="s">
        <v>23</v>
      </c>
      <c r="C23" s="48"/>
      <c r="D23" s="37"/>
      <c r="E23" s="37"/>
      <c r="F23" s="37"/>
      <c r="G23" s="37"/>
      <c r="H23" s="37"/>
      <c r="I23" s="37"/>
    </row>
    <row r="24" spans="1:9" ht="15">
      <c r="A24" s="40" t="s">
        <v>70</v>
      </c>
      <c r="B24" s="7" t="s">
        <v>24</v>
      </c>
      <c r="C24" s="48"/>
      <c r="D24" s="37"/>
      <c r="E24" s="37"/>
      <c r="F24" s="37"/>
      <c r="G24" s="37"/>
      <c r="H24" s="37"/>
      <c r="I24" s="37"/>
    </row>
    <row r="25" spans="1:9" ht="15">
      <c r="A25" s="40" t="s">
        <v>71</v>
      </c>
      <c r="B25" s="7" t="s">
        <v>25</v>
      </c>
      <c r="C25" s="48"/>
      <c r="D25" s="37"/>
      <c r="E25" s="37"/>
      <c r="F25" s="37"/>
      <c r="G25" s="37"/>
      <c r="H25" s="37"/>
      <c r="I25" s="37"/>
    </row>
    <row r="26" spans="1:9" ht="15">
      <c r="A26" s="40" t="s">
        <v>72</v>
      </c>
      <c r="B26" s="7" t="s">
        <v>26</v>
      </c>
      <c r="C26" s="48"/>
      <c r="D26" s="37"/>
      <c r="E26" s="37"/>
      <c r="F26" s="37"/>
      <c r="G26" s="37"/>
      <c r="H26" s="37"/>
      <c r="I26" s="37"/>
    </row>
    <row r="27" spans="1:9" ht="15">
      <c r="A27" s="40" t="s">
        <v>73</v>
      </c>
      <c r="B27" s="7" t="s">
        <v>27</v>
      </c>
      <c r="C27" s="48"/>
      <c r="D27" s="37"/>
      <c r="E27" s="37"/>
      <c r="F27" s="37"/>
      <c r="G27" s="37"/>
      <c r="H27" s="37"/>
      <c r="I27" s="37"/>
    </row>
    <row r="28" spans="1:9" ht="15">
      <c r="A28" s="40" t="s">
        <v>74</v>
      </c>
      <c r="B28" s="7" t="s">
        <v>28</v>
      </c>
      <c r="C28" s="48"/>
      <c r="D28" s="37"/>
      <c r="E28" s="37"/>
      <c r="F28" s="37"/>
      <c r="G28" s="37"/>
      <c r="H28" s="37"/>
      <c r="I28" s="37"/>
    </row>
    <row r="29" spans="1:9" ht="15">
      <c r="A29" s="40" t="s">
        <v>75</v>
      </c>
      <c r="B29" s="7" t="s">
        <v>29</v>
      </c>
      <c r="C29" s="48"/>
      <c r="D29" s="37"/>
      <c r="E29" s="37"/>
      <c r="F29" s="37"/>
      <c r="G29" s="37"/>
      <c r="H29" s="37"/>
      <c r="I29" s="37"/>
    </row>
    <row r="30" spans="1:9" ht="15">
      <c r="A30" s="40" t="s">
        <v>76</v>
      </c>
      <c r="B30" s="7" t="s">
        <v>30</v>
      </c>
      <c r="C30" s="48"/>
      <c r="D30" s="37"/>
      <c r="E30" s="37"/>
      <c r="F30" s="37"/>
      <c r="G30" s="37"/>
      <c r="H30" s="37"/>
      <c r="I30" s="37"/>
    </row>
    <row r="31" spans="1:9" ht="15">
      <c r="A31" s="40" t="s">
        <v>77</v>
      </c>
      <c r="B31" s="7" t="s">
        <v>31</v>
      </c>
      <c r="C31" s="48"/>
      <c r="D31" s="37"/>
      <c r="E31" s="37"/>
      <c r="F31" s="37"/>
      <c r="G31" s="37"/>
      <c r="H31" s="37"/>
      <c r="I31" s="37"/>
    </row>
    <row r="32" spans="1:9" ht="15">
      <c r="A32" s="40" t="s">
        <v>78</v>
      </c>
      <c r="B32" s="7" t="s">
        <v>32</v>
      </c>
      <c r="C32" s="48"/>
      <c r="D32" s="37"/>
      <c r="E32" s="37"/>
      <c r="F32" s="37"/>
      <c r="G32" s="37"/>
      <c r="H32" s="37"/>
      <c r="I32" s="37"/>
    </row>
    <row r="33" spans="1:9" ht="15">
      <c r="A33" s="40" t="s">
        <v>79</v>
      </c>
      <c r="B33" s="7" t="s">
        <v>33</v>
      </c>
      <c r="C33" s="48"/>
      <c r="D33" s="37"/>
      <c r="E33" s="37"/>
      <c r="F33" s="37"/>
      <c r="G33" s="37"/>
      <c r="H33" s="37"/>
      <c r="I33" s="37"/>
    </row>
    <row r="34" spans="1:9" ht="15">
      <c r="A34" s="40" t="s">
        <v>81</v>
      </c>
      <c r="B34" s="7" t="s">
        <v>34</v>
      </c>
      <c r="C34" s="48"/>
      <c r="D34" s="37"/>
      <c r="E34" s="37"/>
      <c r="F34" s="37"/>
      <c r="G34" s="37"/>
      <c r="H34" s="37"/>
      <c r="I34" s="37"/>
    </row>
    <row r="35" spans="1:9" ht="15">
      <c r="A35" s="40" t="s">
        <v>82</v>
      </c>
      <c r="B35" s="7" t="s">
        <v>35</v>
      </c>
      <c r="C35" s="48"/>
      <c r="D35" s="37"/>
      <c r="E35" s="37"/>
      <c r="F35" s="37"/>
      <c r="G35" s="37"/>
      <c r="H35" s="37"/>
      <c r="I35" s="37"/>
    </row>
    <row r="36" spans="1:9" ht="15">
      <c r="A36" s="40" t="s">
        <v>83</v>
      </c>
      <c r="B36" s="7" t="s">
        <v>88</v>
      </c>
      <c r="C36" s="48"/>
      <c r="D36" s="37"/>
      <c r="E36" s="37"/>
      <c r="F36" s="37"/>
      <c r="G36" s="37"/>
      <c r="H36" s="37"/>
      <c r="I36" s="37"/>
    </row>
    <row r="37" spans="1:9" ht="15">
      <c r="A37" s="40" t="s">
        <v>84</v>
      </c>
      <c r="B37" s="7" t="s">
        <v>91</v>
      </c>
      <c r="C37" s="48"/>
      <c r="D37" s="37"/>
      <c r="E37" s="37"/>
      <c r="F37" s="37"/>
      <c r="G37" s="37"/>
      <c r="H37" s="37"/>
      <c r="I37" s="37"/>
    </row>
    <row r="38" spans="1:9" ht="15">
      <c r="A38" s="40" t="s">
        <v>85</v>
      </c>
      <c r="B38" s="7" t="s">
        <v>92</v>
      </c>
      <c r="C38" s="48"/>
      <c r="D38" s="37"/>
      <c r="E38" s="37"/>
      <c r="F38" s="37"/>
      <c r="G38" s="37"/>
      <c r="H38" s="37"/>
      <c r="I38" s="37"/>
    </row>
    <row r="39" spans="1:9" ht="15">
      <c r="A39" s="40" t="s">
        <v>86</v>
      </c>
      <c r="B39" s="7" t="s">
        <v>94</v>
      </c>
      <c r="C39" s="48"/>
      <c r="D39" s="37"/>
      <c r="E39" s="37"/>
      <c r="F39" s="37"/>
      <c r="G39" s="37"/>
      <c r="H39" s="37"/>
      <c r="I39" s="37"/>
    </row>
    <row r="40" spans="1:9" ht="15">
      <c r="A40" s="40" t="s">
        <v>87</v>
      </c>
      <c r="B40" s="7" t="s">
        <v>97</v>
      </c>
      <c r="C40" s="48"/>
      <c r="D40" s="37"/>
      <c r="E40" s="37"/>
      <c r="F40" s="37"/>
      <c r="G40" s="37"/>
      <c r="H40" s="37"/>
      <c r="I40" s="37"/>
    </row>
    <row r="41" spans="1:9" ht="15">
      <c r="A41" s="40" t="s">
        <v>93</v>
      </c>
      <c r="B41" s="7" t="s">
        <v>98</v>
      </c>
      <c r="C41" s="48"/>
      <c r="D41" s="37"/>
      <c r="E41" s="37"/>
      <c r="F41" s="37"/>
      <c r="G41" s="37"/>
      <c r="H41" s="37"/>
      <c r="I41" s="37"/>
    </row>
    <row r="42" spans="1:9" ht="15.75" thickBot="1">
      <c r="A42" s="40" t="s">
        <v>95</v>
      </c>
      <c r="B42" s="7" t="s">
        <v>102</v>
      </c>
      <c r="C42" s="73"/>
      <c r="D42" s="37"/>
      <c r="E42" s="37"/>
      <c r="F42" s="37"/>
      <c r="G42" s="37"/>
      <c r="H42" s="37"/>
      <c r="I42" s="37"/>
    </row>
    <row r="43" spans="1:9" ht="15.75" thickBot="1">
      <c r="A43" s="55"/>
      <c r="B43" s="56" t="s">
        <v>36</v>
      </c>
      <c r="C43" s="57">
        <f>SUM(C6:C42)</f>
        <v>30108.03</v>
      </c>
      <c r="D43" s="37"/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2018-06-13T21:24:51Z</cp:lastPrinted>
  <dcterms:created xsi:type="dcterms:W3CDTF">2011-06-30T06:54:46Z</dcterms:created>
  <dcterms:modified xsi:type="dcterms:W3CDTF">2018-06-17T21:28:24Z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